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40" windowWidth="28380" windowHeight="12465"/>
  </bookViews>
  <sheets>
    <sheet name="05.03.2024" sheetId="5" r:id="rId1"/>
  </sheets>
  <definedNames>
    <definedName name="_xlnm._FilterDatabase" localSheetId="0" hidden="1">'05.03.2024'!$A$9:$BF$180</definedName>
  </definedNames>
  <calcPr calcId="124519"/>
</workbook>
</file>

<file path=xl/calcChain.xml><?xml version="1.0" encoding="utf-8"?>
<calcChain xmlns="http://schemas.openxmlformats.org/spreadsheetml/2006/main">
  <c r="U179" i="5"/>
  <c r="W75"/>
  <c r="W71"/>
  <c r="W63"/>
  <c r="W59"/>
  <c r="W46"/>
  <c r="W30"/>
  <c r="AD149"/>
  <c r="AE13"/>
  <c r="AD13"/>
  <c r="H117"/>
  <c r="H111"/>
  <c r="H108"/>
  <c r="H99"/>
  <c r="H95"/>
  <c r="H93"/>
  <c r="H92"/>
  <c r="H91"/>
  <c r="H84"/>
  <c r="H79"/>
  <c r="H78"/>
  <c r="D117"/>
  <c r="D111"/>
  <c r="D108"/>
  <c r="D99"/>
  <c r="D95"/>
  <c r="D92"/>
  <c r="D91"/>
  <c r="D84"/>
  <c r="D82"/>
  <c r="D78"/>
  <c r="D76"/>
  <c r="AA180"/>
  <c r="U11"/>
  <c r="U13"/>
  <c r="U14"/>
  <c r="U18"/>
  <c r="U19"/>
  <c r="U20"/>
  <c r="U21"/>
  <c r="U22"/>
  <c r="U23"/>
  <c r="U24"/>
  <c r="U27"/>
  <c r="U32"/>
  <c r="U33"/>
  <c r="U36"/>
  <c r="U38"/>
  <c r="U41"/>
  <c r="U45"/>
  <c r="U47"/>
  <c r="U48"/>
  <c r="U51"/>
  <c r="U58"/>
  <c r="U60"/>
  <c r="U62"/>
  <c r="U64"/>
  <c r="U66"/>
  <c r="U67"/>
  <c r="U73"/>
  <c r="U74"/>
  <c r="U83"/>
  <c r="U89"/>
  <c r="U94"/>
  <c r="U98"/>
  <c r="U114"/>
  <c r="U116"/>
  <c r="U119"/>
  <c r="U120"/>
  <c r="U122"/>
  <c r="U123"/>
  <c r="U128"/>
  <c r="U129"/>
  <c r="U130"/>
  <c r="U131"/>
  <c r="U132"/>
  <c r="U133"/>
  <c r="U134"/>
  <c r="U135"/>
  <c r="U136"/>
  <c r="U137"/>
  <c r="U138"/>
  <c r="U139"/>
  <c r="U145"/>
  <c r="U148"/>
  <c r="U149"/>
  <c r="U151"/>
  <c r="U154"/>
  <c r="U158"/>
  <c r="U162"/>
  <c r="U169"/>
  <c r="U10"/>
  <c r="AA118"/>
  <c r="V118"/>
  <c r="U118" s="1"/>
  <c r="AA117"/>
  <c r="Z117" s="1"/>
  <c r="V117"/>
  <c r="U117" s="1"/>
  <c r="AA115"/>
  <c r="V115"/>
  <c r="U115" s="1"/>
  <c r="AA113"/>
  <c r="Z113" s="1"/>
  <c r="V113"/>
  <c r="U113" s="1"/>
  <c r="AA112"/>
  <c r="V112"/>
  <c r="U112" s="1"/>
  <c r="AA111"/>
  <c r="Z111" s="1"/>
  <c r="V111"/>
  <c r="U111" s="1"/>
  <c r="AA110"/>
  <c r="V110"/>
  <c r="U110" s="1"/>
  <c r="AA109"/>
  <c r="V109"/>
  <c r="U109" s="1"/>
  <c r="AA108"/>
  <c r="V108"/>
  <c r="U108" s="1"/>
  <c r="AA107"/>
  <c r="Z107" s="1"/>
  <c r="V107"/>
  <c r="U107" s="1"/>
  <c r="AA106"/>
  <c r="V106"/>
  <c r="U106" s="1"/>
  <c r="AA105"/>
  <c r="V105"/>
  <c r="U105" s="1"/>
  <c r="AA104"/>
  <c r="V104"/>
  <c r="U104" s="1"/>
  <c r="AA103"/>
  <c r="Z103" s="1"/>
  <c r="V103"/>
  <c r="U103" s="1"/>
  <c r="AA102"/>
  <c r="V102"/>
  <c r="U102" s="1"/>
  <c r="AA101"/>
  <c r="V101"/>
  <c r="U101" s="1"/>
  <c r="AA100"/>
  <c r="V100"/>
  <c r="U100" s="1"/>
  <c r="AA99"/>
  <c r="Z99" s="1"/>
  <c r="V99"/>
  <c r="U99" s="1"/>
  <c r="AA96"/>
  <c r="V96"/>
  <c r="U96" s="1"/>
  <c r="AA95"/>
  <c r="Z95" s="1"/>
  <c r="V95"/>
  <c r="U95" s="1"/>
  <c r="AA93"/>
  <c r="V93"/>
  <c r="U93" s="1"/>
  <c r="AA92"/>
  <c r="Z92" s="1"/>
  <c r="V92"/>
  <c r="U92" s="1"/>
  <c r="AA91"/>
  <c r="V91"/>
  <c r="U91" s="1"/>
  <c r="AA90"/>
  <c r="Z90" s="1"/>
  <c r="V90"/>
  <c r="U90" s="1"/>
  <c r="AA87"/>
  <c r="V87"/>
  <c r="U87" s="1"/>
  <c r="AA86"/>
  <c r="Z86" s="1"/>
  <c r="V86"/>
  <c r="U86" s="1"/>
  <c r="AA85"/>
  <c r="V85"/>
  <c r="U85" s="1"/>
  <c r="AA84"/>
  <c r="Z84" s="1"/>
  <c r="V84"/>
  <c r="U84" s="1"/>
  <c r="AA82"/>
  <c r="V82"/>
  <c r="U82" s="1"/>
  <c r="AA81"/>
  <c r="Z81" s="1"/>
  <c r="V81"/>
  <c r="U81" s="1"/>
  <c r="AA80"/>
  <c r="V80"/>
  <c r="U80" s="1"/>
  <c r="AA79"/>
  <c r="Z79" s="1"/>
  <c r="V79"/>
  <c r="U79" s="1"/>
  <c r="AA78"/>
  <c r="V78"/>
  <c r="U78" s="1"/>
  <c r="AA77"/>
  <c r="Z77" s="1"/>
  <c r="V77"/>
  <c r="U77" s="1"/>
  <c r="AA76"/>
  <c r="V76"/>
  <c r="U76" s="1"/>
  <c r="AA72"/>
  <c r="Z72" s="1"/>
  <c r="V72"/>
  <c r="U72" s="1"/>
  <c r="AA70"/>
  <c r="Z70" s="1"/>
  <c r="V70"/>
  <c r="U70" s="1"/>
  <c r="AA69"/>
  <c r="Z69" s="1"/>
  <c r="V69"/>
  <c r="U69" s="1"/>
  <c r="AA68"/>
  <c r="V68"/>
  <c r="U68" s="1"/>
  <c r="AA61"/>
  <c r="Z61" s="1"/>
  <c r="V61"/>
  <c r="U61" s="1"/>
  <c r="AA57"/>
  <c r="V57"/>
  <c r="U57" s="1"/>
  <c r="AA54"/>
  <c r="V54"/>
  <c r="U54" s="1"/>
  <c r="AA53"/>
  <c r="V53"/>
  <c r="U53" s="1"/>
  <c r="AA50"/>
  <c r="Z50" s="1"/>
  <c r="V50"/>
  <c r="U50" s="1"/>
  <c r="AA44"/>
  <c r="V44"/>
  <c r="U44" s="1"/>
  <c r="AA43"/>
  <c r="Z43" s="1"/>
  <c r="V43"/>
  <c r="U43" s="1"/>
  <c r="AA42"/>
  <c r="V42"/>
  <c r="U42" s="1"/>
  <c r="AA40"/>
  <c r="Z40" s="1"/>
  <c r="V40"/>
  <c r="U40" s="1"/>
  <c r="AA31"/>
  <c r="V31"/>
  <c r="U31" s="1"/>
  <c r="AA30"/>
  <c r="Z30" s="1"/>
  <c r="V30"/>
  <c r="U30" s="1"/>
  <c r="Z11"/>
  <c r="Z12"/>
  <c r="Z13"/>
  <c r="Z14"/>
  <c r="Z17"/>
  <c r="Z18"/>
  <c r="Z19"/>
  <c r="Z20"/>
  <c r="Z21"/>
  <c r="Z22"/>
  <c r="Z24"/>
  <c r="Z27"/>
  <c r="Z31"/>
  <c r="Z32"/>
  <c r="Z33"/>
  <c r="Z36"/>
  <c r="Z38"/>
  <c r="Z41"/>
  <c r="Z42"/>
  <c r="Z44"/>
  <c r="Z45"/>
  <c r="Z47"/>
  <c r="Z48"/>
  <c r="Z51"/>
  <c r="Z53"/>
  <c r="Z54"/>
  <c r="Z57"/>
  <c r="Z58"/>
  <c r="Z60"/>
  <c r="Z62"/>
  <c r="Z64"/>
  <c r="Z66"/>
  <c r="Z67"/>
  <c r="Z68"/>
  <c r="Z73"/>
  <c r="Z74"/>
  <c r="Z76"/>
  <c r="Z78"/>
  <c r="Z80"/>
  <c r="Z82"/>
  <c r="Z83"/>
  <c r="Z85"/>
  <c r="Z87"/>
  <c r="Z89"/>
  <c r="Z91"/>
  <c r="Z93"/>
  <c r="Z94"/>
  <c r="Z96"/>
  <c r="Z98"/>
  <c r="Z100"/>
  <c r="Z101"/>
  <c r="Z102"/>
  <c r="Z104"/>
  <c r="Z105"/>
  <c r="Z106"/>
  <c r="Z108"/>
  <c r="Z109"/>
  <c r="Z110"/>
  <c r="Z112"/>
  <c r="Z114"/>
  <c r="Z115"/>
  <c r="Z116"/>
  <c r="Z118"/>
  <c r="Z119"/>
  <c r="Z120"/>
  <c r="Z122"/>
  <c r="Z123"/>
  <c r="Z125"/>
  <c r="Z128"/>
  <c r="Z129"/>
  <c r="Z130"/>
  <c r="Z131"/>
  <c r="Z132"/>
  <c r="Z133"/>
  <c r="Z134"/>
  <c r="Z135"/>
  <c r="Z136"/>
  <c r="Z137"/>
  <c r="Z138"/>
  <c r="Z139"/>
  <c r="Z145"/>
  <c r="Z148"/>
  <c r="Z149"/>
  <c r="Z151"/>
  <c r="Z152"/>
  <c r="Z154"/>
  <c r="Z158"/>
  <c r="Z162"/>
  <c r="Z163"/>
  <c r="Z10"/>
  <c r="AA26"/>
  <c r="Z26" s="1"/>
  <c r="V26"/>
  <c r="U26" s="1"/>
  <c r="AC178" l="1"/>
  <c r="AC182" s="1"/>
  <c r="V180"/>
  <c r="G180"/>
  <c r="D180"/>
  <c r="C180" s="1"/>
  <c r="Z179"/>
  <c r="J179"/>
  <c r="G179"/>
  <c r="D179"/>
  <c r="C179" s="1"/>
  <c r="BD178"/>
  <c r="BD182" s="1"/>
  <c r="BC178"/>
  <c r="BC182" s="1"/>
  <c r="BB178"/>
  <c r="BB182" s="1"/>
  <c r="BA178"/>
  <c r="BA182" s="1"/>
  <c r="AZ178"/>
  <c r="AZ182" s="1"/>
  <c r="AY178"/>
  <c r="AY182" s="1"/>
  <c r="AX178"/>
  <c r="AX182" s="1"/>
  <c r="AV178"/>
  <c r="AV182" s="1"/>
  <c r="AU178"/>
  <c r="AU182" s="1"/>
  <c r="AT178"/>
  <c r="AT182" s="1"/>
  <c r="AS178"/>
  <c r="AS182" s="1"/>
  <c r="AR178"/>
  <c r="AR182" s="1"/>
  <c r="AP178"/>
  <c r="AP182" s="1"/>
  <c r="AO178"/>
  <c r="AO182" s="1"/>
  <c r="AN178"/>
  <c r="AN182" s="1"/>
  <c r="AM178"/>
  <c r="AM182" s="1"/>
  <c r="AL178"/>
  <c r="AL182" s="1"/>
  <c r="AK178"/>
  <c r="AK182" s="1"/>
  <c r="AJ178"/>
  <c r="AJ182" s="1"/>
  <c r="AI178"/>
  <c r="AI182" s="1"/>
  <c r="AH178"/>
  <c r="AH182" s="1"/>
  <c r="AF178"/>
  <c r="AF182" s="1"/>
  <c r="AE178"/>
  <c r="AE182" s="1"/>
  <c r="AD178"/>
  <c r="AD182" s="1"/>
  <c r="AB178"/>
  <c r="AB182" s="1"/>
  <c r="Y178"/>
  <c r="Y182" s="1"/>
  <c r="X178"/>
  <c r="X182" s="1"/>
  <c r="W178"/>
  <c r="W182" s="1"/>
  <c r="T178"/>
  <c r="T182" s="1"/>
  <c r="S178"/>
  <c r="S182" s="1"/>
  <c r="R178"/>
  <c r="R182" s="1"/>
  <c r="P178"/>
  <c r="P182" s="1"/>
  <c r="N178"/>
  <c r="N182" s="1"/>
  <c r="M178"/>
  <c r="M182" s="1"/>
  <c r="I178"/>
  <c r="I182" s="1"/>
  <c r="F178"/>
  <c r="F182" s="1"/>
  <c r="E178"/>
  <c r="E182" s="1"/>
  <c r="G175"/>
  <c r="G174"/>
  <c r="G173"/>
  <c r="H172"/>
  <c r="G172" s="1"/>
  <c r="J169"/>
  <c r="G169"/>
  <c r="G163"/>
  <c r="J162"/>
  <c r="AW160"/>
  <c r="AW178" s="1"/>
  <c r="AW182" s="1"/>
  <c r="J158"/>
  <c r="G158"/>
  <c r="J154"/>
  <c r="G154"/>
  <c r="G152"/>
  <c r="J151"/>
  <c r="G151"/>
  <c r="G150"/>
  <c r="J149"/>
  <c r="G149"/>
  <c r="J148"/>
  <c r="G148"/>
  <c r="J145"/>
  <c r="G143"/>
  <c r="J139"/>
  <c r="J138"/>
  <c r="J137"/>
  <c r="J136"/>
  <c r="J135"/>
  <c r="J134"/>
  <c r="J133"/>
  <c r="J132"/>
  <c r="J131"/>
  <c r="G131"/>
  <c r="J130"/>
  <c r="J129"/>
  <c r="G129"/>
  <c r="J128"/>
  <c r="H128"/>
  <c r="H178" s="1"/>
  <c r="H182" s="1"/>
  <c r="C127"/>
  <c r="G126"/>
  <c r="G125"/>
  <c r="D125"/>
  <c r="C125" s="1"/>
  <c r="G124"/>
  <c r="J123"/>
  <c r="C123"/>
  <c r="J122"/>
  <c r="G122"/>
  <c r="C122"/>
  <c r="C121"/>
  <c r="J120"/>
  <c r="G120"/>
  <c r="J119"/>
  <c r="AG118"/>
  <c r="O118"/>
  <c r="L118"/>
  <c r="G118"/>
  <c r="D118"/>
  <c r="C118" s="1"/>
  <c r="AG117"/>
  <c r="O117"/>
  <c r="L117"/>
  <c r="G117"/>
  <c r="C117"/>
  <c r="J116"/>
  <c r="AG115"/>
  <c r="O115"/>
  <c r="L115"/>
  <c r="G115"/>
  <c r="C115"/>
  <c r="J114"/>
  <c r="G114"/>
  <c r="AG113"/>
  <c r="O113"/>
  <c r="L113"/>
  <c r="G113"/>
  <c r="C113"/>
  <c r="AG112"/>
  <c r="O112"/>
  <c r="L112"/>
  <c r="G112"/>
  <c r="C112"/>
  <c r="AG111"/>
  <c r="O111"/>
  <c r="L111"/>
  <c r="G111"/>
  <c r="C111"/>
  <c r="AG110"/>
  <c r="O110"/>
  <c r="L110"/>
  <c r="G110"/>
  <c r="C110"/>
  <c r="AG109"/>
  <c r="O109"/>
  <c r="L109"/>
  <c r="G109"/>
  <c r="C109"/>
  <c r="AG108"/>
  <c r="O108"/>
  <c r="L108"/>
  <c r="G108"/>
  <c r="C108"/>
  <c r="AG107"/>
  <c r="O107"/>
  <c r="L107"/>
  <c r="G107"/>
  <c r="C107"/>
  <c r="AG106"/>
  <c r="O106"/>
  <c r="L106"/>
  <c r="G106"/>
  <c r="C106"/>
  <c r="AG105"/>
  <c r="O105"/>
  <c r="L105"/>
  <c r="G105"/>
  <c r="C105"/>
  <c r="AG104"/>
  <c r="O104"/>
  <c r="L104"/>
  <c r="G104"/>
  <c r="C104"/>
  <c r="AG103"/>
  <c r="O103"/>
  <c r="L103"/>
  <c r="G103"/>
  <c r="C103"/>
  <c r="AG102"/>
  <c r="O102"/>
  <c r="L102"/>
  <c r="G102"/>
  <c r="C102"/>
  <c r="AG101"/>
  <c r="O101"/>
  <c r="L101"/>
  <c r="G101"/>
  <c r="C101"/>
  <c r="AG100"/>
  <c r="O100"/>
  <c r="L100"/>
  <c r="G100"/>
  <c r="C100"/>
  <c r="AG99"/>
  <c r="O99"/>
  <c r="L99"/>
  <c r="G99"/>
  <c r="C99"/>
  <c r="J98"/>
  <c r="AA97"/>
  <c r="Z97" s="1"/>
  <c r="V97"/>
  <c r="U97" s="1"/>
  <c r="O97"/>
  <c r="L97"/>
  <c r="G97"/>
  <c r="C97"/>
  <c r="AG96"/>
  <c r="O96"/>
  <c r="L96"/>
  <c r="G96"/>
  <c r="C96"/>
  <c r="AG95"/>
  <c r="O95"/>
  <c r="L95"/>
  <c r="G95"/>
  <c r="C95"/>
  <c r="J94"/>
  <c r="AG93"/>
  <c r="O93"/>
  <c r="L93"/>
  <c r="G93"/>
  <c r="C93"/>
  <c r="AG92"/>
  <c r="O92"/>
  <c r="L92"/>
  <c r="G92"/>
  <c r="C92"/>
  <c r="AG91"/>
  <c r="O91"/>
  <c r="L91"/>
  <c r="G91"/>
  <c r="C91"/>
  <c r="AG90"/>
  <c r="O90"/>
  <c r="L90"/>
  <c r="G90"/>
  <c r="C90"/>
  <c r="J89"/>
  <c r="AA88"/>
  <c r="Z88" s="1"/>
  <c r="V88"/>
  <c r="U88" s="1"/>
  <c r="O88"/>
  <c r="L88"/>
  <c r="G88"/>
  <c r="C88"/>
  <c r="AG87"/>
  <c r="O87"/>
  <c r="L87"/>
  <c r="G87"/>
  <c r="C87"/>
  <c r="AG86"/>
  <c r="O86"/>
  <c r="L86"/>
  <c r="G86"/>
  <c r="C86"/>
  <c r="AG85"/>
  <c r="O85"/>
  <c r="L85"/>
  <c r="G85"/>
  <c r="C85"/>
  <c r="AG84"/>
  <c r="O84"/>
  <c r="L84"/>
  <c r="G84"/>
  <c r="C84"/>
  <c r="J83"/>
  <c r="AG82"/>
  <c r="O82"/>
  <c r="L82"/>
  <c r="G82"/>
  <c r="C82"/>
  <c r="AG81"/>
  <c r="O81"/>
  <c r="L81"/>
  <c r="G81"/>
  <c r="C81"/>
  <c r="AG80"/>
  <c r="O80"/>
  <c r="L80"/>
  <c r="G80"/>
  <c r="C80"/>
  <c r="AG79"/>
  <c r="O79"/>
  <c r="L79"/>
  <c r="G79"/>
  <c r="C79"/>
  <c r="AG78"/>
  <c r="O78"/>
  <c r="L78"/>
  <c r="G78"/>
  <c r="C78"/>
  <c r="AG77"/>
  <c r="O77"/>
  <c r="L77"/>
  <c r="G77"/>
  <c r="C77"/>
  <c r="AG76"/>
  <c r="O76"/>
  <c r="L76"/>
  <c r="G76"/>
  <c r="C76"/>
  <c r="AA75"/>
  <c r="Z75" s="1"/>
  <c r="V75"/>
  <c r="U75" s="1"/>
  <c r="O75"/>
  <c r="L75"/>
  <c r="G75"/>
  <c r="J74"/>
  <c r="J73"/>
  <c r="G73"/>
  <c r="AG72"/>
  <c r="O72"/>
  <c r="L72"/>
  <c r="G72"/>
  <c r="AA71"/>
  <c r="Z71" s="1"/>
  <c r="V71"/>
  <c r="U71" s="1"/>
  <c r="O71"/>
  <c r="L71"/>
  <c r="G71"/>
  <c r="C71"/>
  <c r="AG70"/>
  <c r="O70"/>
  <c r="L70"/>
  <c r="G70"/>
  <c r="C70"/>
  <c r="AG69"/>
  <c r="O69"/>
  <c r="L69"/>
  <c r="G69"/>
  <c r="C69"/>
  <c r="AG68"/>
  <c r="O68"/>
  <c r="L68"/>
  <c r="G68"/>
  <c r="D68"/>
  <c r="C68" s="1"/>
  <c r="J67"/>
  <c r="G67"/>
  <c r="C67"/>
  <c r="J66"/>
  <c r="G66"/>
  <c r="G65"/>
  <c r="D65"/>
  <c r="C65" s="1"/>
  <c r="J64"/>
  <c r="AA63"/>
  <c r="Z63" s="1"/>
  <c r="V63"/>
  <c r="U63" s="1"/>
  <c r="O63"/>
  <c r="L63"/>
  <c r="J62"/>
  <c r="G62"/>
  <c r="AG61"/>
  <c r="O61"/>
  <c r="L61"/>
  <c r="G61"/>
  <c r="J60"/>
  <c r="G60"/>
  <c r="AA59"/>
  <c r="Z59" s="1"/>
  <c r="V59"/>
  <c r="U59" s="1"/>
  <c r="O59"/>
  <c r="L59"/>
  <c r="G59"/>
  <c r="J58"/>
  <c r="AG57"/>
  <c r="O57"/>
  <c r="L57"/>
  <c r="G57"/>
  <c r="G56"/>
  <c r="D56"/>
  <c r="C56" s="1"/>
  <c r="AA55"/>
  <c r="Z55" s="1"/>
  <c r="V55"/>
  <c r="U55" s="1"/>
  <c r="O55"/>
  <c r="L55"/>
  <c r="G55"/>
  <c r="AG54"/>
  <c r="O54"/>
  <c r="L54"/>
  <c r="G54"/>
  <c r="C54"/>
  <c r="AG53"/>
  <c r="O53"/>
  <c r="L53"/>
  <c r="G53"/>
  <c r="D53"/>
  <c r="C53" s="1"/>
  <c r="AA52"/>
  <c r="Z52" s="1"/>
  <c r="V52"/>
  <c r="U52" s="1"/>
  <c r="O52"/>
  <c r="L52"/>
  <c r="G52"/>
  <c r="J51"/>
  <c r="AG50"/>
  <c r="O50"/>
  <c r="L50"/>
  <c r="G50"/>
  <c r="G49"/>
  <c r="D49"/>
  <c r="C49" s="1"/>
  <c r="J48"/>
  <c r="G48"/>
  <c r="D48"/>
  <c r="C48" s="1"/>
  <c r="J47"/>
  <c r="G47"/>
  <c r="C47"/>
  <c r="AA46"/>
  <c r="Z46" s="1"/>
  <c r="V46"/>
  <c r="U46" s="1"/>
  <c r="O46"/>
  <c r="L46"/>
  <c r="G46"/>
  <c r="J45"/>
  <c r="AG44"/>
  <c r="O44"/>
  <c r="L44"/>
  <c r="G44"/>
  <c r="D44"/>
  <c r="C44" s="1"/>
  <c r="AG43"/>
  <c r="O43"/>
  <c r="L43"/>
  <c r="G43"/>
  <c r="C43"/>
  <c r="AG42"/>
  <c r="O42"/>
  <c r="L42"/>
  <c r="G42"/>
  <c r="C42"/>
  <c r="J41"/>
  <c r="AG40"/>
  <c r="O40"/>
  <c r="L40"/>
  <c r="G40"/>
  <c r="C39"/>
  <c r="J38"/>
  <c r="C38"/>
  <c r="AA37"/>
  <c r="Z37" s="1"/>
  <c r="V37"/>
  <c r="U37" s="1"/>
  <c r="O37"/>
  <c r="L37"/>
  <c r="G37"/>
  <c r="C37"/>
  <c r="J36"/>
  <c r="G36"/>
  <c r="D36"/>
  <c r="C36" s="1"/>
  <c r="AQ34"/>
  <c r="J33"/>
  <c r="J32"/>
  <c r="AG31"/>
  <c r="O31"/>
  <c r="L31"/>
  <c r="G31"/>
  <c r="AG30"/>
  <c r="O30"/>
  <c r="L30"/>
  <c r="G30"/>
  <c r="G29"/>
  <c r="D29"/>
  <c r="C29" s="1"/>
  <c r="AA28"/>
  <c r="Z28" s="1"/>
  <c r="V28"/>
  <c r="U28" s="1"/>
  <c r="O28"/>
  <c r="L28"/>
  <c r="G28"/>
  <c r="AG26"/>
  <c r="O26"/>
  <c r="L26"/>
  <c r="G26"/>
  <c r="G25"/>
  <c r="C25"/>
  <c r="J24"/>
  <c r="G24"/>
  <c r="D24"/>
  <c r="C24" s="1"/>
  <c r="J23"/>
  <c r="D23"/>
  <c r="C23" s="1"/>
  <c r="J22"/>
  <c r="J21"/>
  <c r="D21"/>
  <c r="C21" s="1"/>
  <c r="J20"/>
  <c r="AQ19"/>
  <c r="J19"/>
  <c r="G19"/>
  <c r="D19"/>
  <c r="C19" s="1"/>
  <c r="J18"/>
  <c r="G18"/>
  <c r="C18"/>
  <c r="G17"/>
  <c r="C17"/>
  <c r="G16"/>
  <c r="C16"/>
  <c r="G15"/>
  <c r="C15"/>
  <c r="J14"/>
  <c r="D14"/>
  <c r="C14" s="1"/>
  <c r="J13"/>
  <c r="G13"/>
  <c r="D13"/>
  <c r="C13" s="1"/>
  <c r="V12"/>
  <c r="G12"/>
  <c r="C12"/>
  <c r="J11"/>
  <c r="G11"/>
  <c r="D11"/>
  <c r="C11" s="1"/>
  <c r="G10"/>
  <c r="D10"/>
  <c r="C10" s="1"/>
  <c r="AQ178" l="1"/>
  <c r="AQ182" s="1"/>
  <c r="AA178"/>
  <c r="V178"/>
  <c r="V182" s="1"/>
  <c r="AC185" s="1"/>
  <c r="U12"/>
  <c r="J12" s="1"/>
  <c r="U180"/>
  <c r="J180" s="1"/>
  <c r="K103"/>
  <c r="J103" s="1"/>
  <c r="K90"/>
  <c r="J90" s="1"/>
  <c r="K87"/>
  <c r="J87" s="1"/>
  <c r="K40"/>
  <c r="J40" s="1"/>
  <c r="K84"/>
  <c r="J84" s="1"/>
  <c r="D178"/>
  <c r="D182" s="1"/>
  <c r="K70"/>
  <c r="L178"/>
  <c r="L182" s="1"/>
  <c r="AG178"/>
  <c r="AG182" s="1"/>
  <c r="K28"/>
  <c r="J28" s="1"/>
  <c r="K86"/>
  <c r="K61"/>
  <c r="J61" s="1"/>
  <c r="O178"/>
  <c r="O182" s="1"/>
  <c r="K31"/>
  <c r="J31" s="1"/>
  <c r="K82"/>
  <c r="J82" s="1"/>
  <c r="K52"/>
  <c r="J52" s="1"/>
  <c r="K59"/>
  <c r="J59" s="1"/>
  <c r="K111"/>
  <c r="J111" s="1"/>
  <c r="K113"/>
  <c r="J113" s="1"/>
  <c r="K50"/>
  <c r="J50" s="1"/>
  <c r="K53"/>
  <c r="J53" s="1"/>
  <c r="K54"/>
  <c r="J54" s="1"/>
  <c r="K104"/>
  <c r="J104" s="1"/>
  <c r="K42"/>
  <c r="J42" s="1"/>
  <c r="K76"/>
  <c r="J76" s="1"/>
  <c r="K80"/>
  <c r="J80" s="1"/>
  <c r="K93"/>
  <c r="J93" s="1"/>
  <c r="K75"/>
  <c r="J75" s="1"/>
  <c r="K88"/>
  <c r="J88" s="1"/>
  <c r="K96"/>
  <c r="J96" s="1"/>
  <c r="K99"/>
  <c r="J99" s="1"/>
  <c r="K100"/>
  <c r="J100" s="1"/>
  <c r="K107"/>
  <c r="J107" s="1"/>
  <c r="K108"/>
  <c r="J108" s="1"/>
  <c r="K115"/>
  <c r="J115" s="1"/>
  <c r="K118"/>
  <c r="J118" s="1"/>
  <c r="J27"/>
  <c r="K46"/>
  <c r="J46" s="1"/>
  <c r="K68"/>
  <c r="J68" s="1"/>
  <c r="K92"/>
  <c r="J92" s="1"/>
  <c r="K97"/>
  <c r="J97" s="1"/>
  <c r="K101"/>
  <c r="J101" s="1"/>
  <c r="K102"/>
  <c r="J102" s="1"/>
  <c r="K109"/>
  <c r="J109" s="1"/>
  <c r="K110"/>
  <c r="J110" s="1"/>
  <c r="K43"/>
  <c r="J43" s="1"/>
  <c r="K55"/>
  <c r="J55" s="1"/>
  <c r="K69"/>
  <c r="J69" s="1"/>
  <c r="K77"/>
  <c r="J77" s="1"/>
  <c r="K44"/>
  <c r="J44" s="1"/>
  <c r="K57"/>
  <c r="J57" s="1"/>
  <c r="K78"/>
  <c r="J78" s="1"/>
  <c r="K79"/>
  <c r="J79" s="1"/>
  <c r="K81"/>
  <c r="J81" s="1"/>
  <c r="K105"/>
  <c r="J105" s="1"/>
  <c r="K106"/>
  <c r="J106" s="1"/>
  <c r="J86"/>
  <c r="K30"/>
  <c r="J30" s="1"/>
  <c r="K63"/>
  <c r="J63" s="1"/>
  <c r="K72"/>
  <c r="J72" s="1"/>
  <c r="K91"/>
  <c r="J91" s="1"/>
  <c r="K95"/>
  <c r="J95" s="1"/>
  <c r="K26"/>
  <c r="J26" s="1"/>
  <c r="K37"/>
  <c r="J37" s="1"/>
  <c r="K71"/>
  <c r="J71" s="1"/>
  <c r="K85"/>
  <c r="J85" s="1"/>
  <c r="K117"/>
  <c r="J117" s="1"/>
  <c r="K112"/>
  <c r="J112" s="1"/>
  <c r="J70"/>
  <c r="J10"/>
  <c r="C178"/>
  <c r="C182" s="1"/>
  <c r="G128"/>
  <c r="Z178" l="1"/>
  <c r="K178"/>
  <c r="K182" s="1"/>
  <c r="U178"/>
  <c r="U182" s="1"/>
  <c r="J178"/>
  <c r="J182" s="1"/>
  <c r="G178"/>
  <c r="G182" s="1"/>
  <c r="Z180" l="1"/>
  <c r="Z182" s="1"/>
  <c r="AA182"/>
</calcChain>
</file>

<file path=xl/sharedStrings.xml><?xml version="1.0" encoding="utf-8"?>
<sst xmlns="http://schemas.openxmlformats.org/spreadsheetml/2006/main" count="246" uniqueCount="237">
  <si>
    <t>Филиал ООО "ХАВЕН" - город Волгоград</t>
  </si>
  <si>
    <t>ВМП</t>
  </si>
  <si>
    <t>медицинская реабилитация</t>
  </si>
  <si>
    <t>Итого МО</t>
  </si>
  <si>
    <t>ТП ОМС</t>
  </si>
  <si>
    <t>Код МО</t>
  </si>
  <si>
    <t>Наименование МО (полное)</t>
  </si>
  <si>
    <t>Стационарная помощь</t>
  </si>
  <si>
    <t>Стационарозамещающая помощь</t>
  </si>
  <si>
    <t>Амбулаторная помощь</t>
  </si>
  <si>
    <t>Скорая помощь, вызов СМП</t>
  </si>
  <si>
    <t>случай госпитализаци, всего</t>
  </si>
  <si>
    <t>в том числе</t>
  </si>
  <si>
    <t>Поликлиника</t>
  </si>
  <si>
    <t>Лечебно-диагностические исследования</t>
  </si>
  <si>
    <t>Лабораторные исследования</t>
  </si>
  <si>
    <t>специализированная МП</t>
  </si>
  <si>
    <t>случай лечения, всего</t>
  </si>
  <si>
    <t>посещение с профилактической и иными целями, всего</t>
  </si>
  <si>
    <t>посещение по неотложной медицинской помощи</t>
  </si>
  <si>
    <t>обращение, всего</t>
  </si>
  <si>
    <t>компьютерная томография (КТ)</t>
  </si>
  <si>
    <t>магнитно-резонансная томография (МРТ)</t>
  </si>
  <si>
    <t>ультразвуковое исследование сердечно-сосудистой системы (УЗИ ССС)</t>
  </si>
  <si>
    <t>эндоскопическое диагностическое исследование</t>
  </si>
  <si>
    <t>молекулярно-генетическое (с целью диагностики онкологических заболеваний)</t>
  </si>
  <si>
    <t>патолого-анатомическое (с целью диагности онкологических заболеваний)</t>
  </si>
  <si>
    <t>тестирование на COVID-19, всего</t>
  </si>
  <si>
    <t>жидкостная цитология (с целью диагностики онкологических заболеваний)</t>
  </si>
  <si>
    <t>пренатальный скрининг</t>
  </si>
  <si>
    <t>резус-фактор плода</t>
  </si>
  <si>
    <t>ЦКДЛ, всего</t>
  </si>
  <si>
    <t>в том числе:</t>
  </si>
  <si>
    <t>комплексное посещение с профлактической целью, всего</t>
  </si>
  <si>
    <t>посещение с иными целями, всего</t>
  </si>
  <si>
    <t>с лечебной целью</t>
  </si>
  <si>
    <t>ЦАОП</t>
  </si>
  <si>
    <t>биохимическое</t>
  </si>
  <si>
    <t>гематологическое</t>
  </si>
  <si>
    <t>коагулогическое</t>
  </si>
  <si>
    <t>ИХЛ</t>
  </si>
  <si>
    <t>микробиологическое</t>
  </si>
  <si>
    <t>ПЦР</t>
  </si>
  <si>
    <t>комплексное посещение для проведения профилактических медицинских осмотров, всего</t>
  </si>
  <si>
    <t>комплексное посещение для проведения диспансеризации, всего</t>
  </si>
  <si>
    <t>посещение с иными целями</t>
  </si>
  <si>
    <t>диспансеризация взрослого населения (2 этап)</t>
  </si>
  <si>
    <t>комплексное посещение Школы сахарного диабета</t>
  </si>
  <si>
    <t>посещение Центра здоровья</t>
  </si>
  <si>
    <t>профилактический медицинский осмотр взрослого населения</t>
  </si>
  <si>
    <t>профилактический медицинский осмотр несовершеннолетних</t>
  </si>
  <si>
    <t>диспансеризация взрослого населения (1 этап)</t>
  </si>
  <si>
    <t>углубленная диспансеризация после COVID-19</t>
  </si>
  <si>
    <t>диспансеризация детей-сирот,  в т.ч. усыновленных</t>
  </si>
  <si>
    <t>диспансеризация детей-сирот,  пребывающих в стационарных учреждениях</t>
  </si>
  <si>
    <t>фонд на выравнивание</t>
  </si>
  <si>
    <t>межтерриториальные расчеты</t>
  </si>
  <si>
    <t>Свод объемов медицинской помощи, предоставляемой медицинскими организациями в рамках территориальной программы обязательного медицинского страхования Волгоградской области на 2024 год</t>
  </si>
  <si>
    <t>перитонеальный диализ</t>
  </si>
  <si>
    <t>ЗПТ</t>
  </si>
  <si>
    <t>гемодиализ</t>
  </si>
  <si>
    <t>комплексное поещение по поводу диспансерного наблюдения, всего</t>
  </si>
  <si>
    <t>в том числе по поводу</t>
  </si>
  <si>
    <t>онкологических заболеваний</t>
  </si>
  <si>
    <t>сахарного диабета</t>
  </si>
  <si>
    <t>болезней системы кровообращения</t>
  </si>
  <si>
    <t>иныых заболеваний</t>
  </si>
  <si>
    <t>сцинтиграфия (с целью диагностики онкологических заболеваний)</t>
  </si>
  <si>
    <t>Федеральное бюджетное учреждение Центр реабилитации Фонда пенсионного и социального страхования Российской Федерации "Волгоград"</t>
  </si>
  <si>
    <t>Общество с ограниченной ответственностью "МФЦ-Кузбасс"</t>
  </si>
  <si>
    <t>Общество с ограниченной ответствененостью "НЕФРОЛОГИЧЕСКИЙ ЦЕНТР"</t>
  </si>
  <si>
    <t>Общество с ограниченной ответственностью "Деметра"</t>
  </si>
  <si>
    <t>Общество с ограниченной ответственностью "ПрофМед"</t>
  </si>
  <si>
    <t>Общество с ограниченной ответственностью "КДЛ-ДОМОДЕДОВО-ТЕСТ"</t>
  </si>
  <si>
    <t>Государственное бюджетное учреждение здравоохранения "Волгоградская областная детская клиническая больница"</t>
  </si>
  <si>
    <t>Государственное бюджетное учреждение здравоохранения "Волгоградская областная клиническая больница № 3", Волгоград</t>
  </si>
  <si>
    <t>Государственное бюджетное учреждение здравоохранения "Волгоградский областной уронефрологический центр"</t>
  </si>
  <si>
    <t>Государственное бюджетное учреждение здравоохранения "Волгоградский областной клинический госпиталь ветеранов войн", Волгоград</t>
  </si>
  <si>
    <t>Государственное бюджетное учреждение здравоохранения "Волгоградская областная инфекционная больница № 2", г. Волжский</t>
  </si>
  <si>
    <t>Государственное бюджетное учреждение здравоохранения "Волгоградская областная клиническая инфекционная больница № 1", Волгоград</t>
  </si>
  <si>
    <t>Волгоградский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</t>
  </si>
  <si>
    <t>Государственное бюджетное учреждение здравоохранения "Волгоградский областной клинический кожно-венерологический диспансер"</t>
  </si>
  <si>
    <t>Государственное бюджетное учреждение здравоохранения "Волгоградский областной клинический онкологический диспансер"</t>
  </si>
  <si>
    <t>Государственное бюджетное учреждение здравоохранения "Волгоградский областной клинический центр медицинской реабилитации"</t>
  </si>
  <si>
    <t>Государственное бюджетное учреждение здравоохранения "Волгоградский областной клинический кардиологический центр", Волгоград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</si>
  <si>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</si>
  <si>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Государственное бюджетное учреждение здравоохранения "Волгоградский областной клинический перинатальный центр № 1 им.Л.И.Ушаковой", г.Волжский</t>
  </si>
  <si>
    <t>Государственное бюджетное учреждение здравоохранения "Волгоградский областной клинический перинатальный центр № 2", Волгоград</t>
  </si>
  <si>
    <t>Государственное учреждение здравоохранения "Детская клиническая больница № 8"</t>
  </si>
  <si>
    <t>Государственное учреждение здравоохранения "Поликлиника № 4"</t>
  </si>
  <si>
    <t>Государственное автономное учреждение здравоохранения "Стоматологическая поликлиника № 9"</t>
  </si>
  <si>
    <t>Государственное учреждение здравоохранения "Детская поликлиника № 6"</t>
  </si>
  <si>
    <t>Государственное учреждение здравоохранения "Городская клиническая больница скорой медицинской помощи № 25"</t>
  </si>
  <si>
    <t>Государственное учреждение здравоохранения "Клиническая поликлиника № 28"</t>
  </si>
  <si>
    <t>Государственное учреждение здравоохранения "Поликлиника № 30"</t>
  </si>
  <si>
    <t>Государственное автономное учреждение здравоохранения "Стоматологическая поликлиника № 8"</t>
  </si>
  <si>
    <t>Государственное учреждение здравоохранения  "Консультативно-диагностическая поликлиника  № 2"</t>
  </si>
  <si>
    <t>Государственное бюджетное учреждение здравоохранения "Волгоградское областное патологоанатомическое бюро", Волгоград</t>
  </si>
  <si>
    <t>Государственное бюджетное учреждение здравоохранения "Клиническая станция скорой медицинской помощи"</t>
  </si>
  <si>
    <t>Государственное учреждение здравоохранения "Городская клиническая больница № 1"</t>
  </si>
  <si>
    <t>Государственное учреждение здравоохранения "Детская больница № 1"</t>
  </si>
  <si>
    <t>Федеральное государственное бюджетное учреждение здравоохранения  "Волгоградский медицинский клинический центр Федерального медико-биологического агентства"</t>
  </si>
  <si>
    <t>Государственное учреждение здравоохранения "Поликлиника № 5"</t>
  </si>
  <si>
    <t>Государственное автономное учреждение здравоохранения "Стоматологическая поликлиника № 11"</t>
  </si>
  <si>
    <t>Государственное учреждение здравоохранения "Больница № 16"</t>
  </si>
  <si>
    <t>Государственное учреждение здравоохранения "Больница №22"</t>
  </si>
  <si>
    <t>Государственное учреждение здравоохранения "Клиническая больница скорой медицинской помощи № 15"</t>
  </si>
  <si>
    <t>Государственное автономное учреждение здравоохранения "Клиническая стоматологическая поликлиника № 12"</t>
  </si>
  <si>
    <t>Государственное учреждение здравоохранения "Детская поликлиника № 16"</t>
  </si>
  <si>
    <t>Государственное учреждение здравоохранения "Родильный дом № 4"</t>
  </si>
  <si>
    <t>Государственное учреждение здравоохранения "Клиническая больница № 5"</t>
  </si>
  <si>
    <t>Государственное учреждение здравоохранения "Клиническая больница № 12"</t>
  </si>
  <si>
    <t>Государственное учреждение здравоохранения "Поликлиника № 2"</t>
  </si>
  <si>
    <t>Государственное автономное учреждение здравоохранения "Стоматологическая поликлиника № 7"</t>
  </si>
  <si>
    <t>Государственное учреждение здравоохранения "Детская поликлиника № 1"</t>
  </si>
  <si>
    <t>Государственное учреждение здравоохранения "Клиническая больница скорой медицинской помощи № 7"</t>
  </si>
  <si>
    <t>Государственное учреждение здравоохранения "Клиническая больница № 11"</t>
  </si>
  <si>
    <t>Государственное учреждение здравоохранения "Детская клиническая поликлиника № 31"</t>
  </si>
  <si>
    <t>Государственное учреждение здравоохранения "Клиническая больница № 4 "</t>
  </si>
  <si>
    <t>Государственное учреждение здравоохранение "Клиническая поликлиника № 1"</t>
  </si>
  <si>
    <t>Государственное автономное учреждение здравоохранения "Клиническая стоматологическая поликлиника № 3"</t>
  </si>
  <si>
    <t>Государственное учреждение здравоохранения "Детская поликлиника № 3"</t>
  </si>
  <si>
    <t>Филиал Общества с ограниченной ответственностью "Институт управления медицинскими рисками и оптимизации страхования" в г.Волгограде</t>
  </si>
  <si>
    <t>Государственное автономное учреждение здравоохранения "Клиническая поликлиника № 3"</t>
  </si>
  <si>
    <t>Государственное автономное учреждение здравоохранения "Детская клиническая стоматологическая поликлиника № 2"</t>
  </si>
  <si>
    <t>Государственное учреждение здравоохранения "Детская клиническая поликлиника № 15"</t>
  </si>
  <si>
    <t>Стоматологический клинико-диагностический центр ВолгГМУ</t>
  </si>
  <si>
    <t>Клиника № 1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</si>
  <si>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Клиника семейной медицины Федерального государственного бюджетного образовательного учреждения высшего образования "Волгоградский государственный  медицинский университет" Министерства здравоохранения Российской Федерации</t>
  </si>
  <si>
    <t>Государственное учреждение здравоохранения "Клинический родильный дом № 2"</t>
  </si>
  <si>
    <t>Государственное бюджетное учреждение здравоохранения "Городская клиническая больница № 1 им.С.З.Фишера"</t>
  </si>
  <si>
    <t>Государственное бюджетное учреждение здравоохранения "Городская клиническая больница №3"</t>
  </si>
  <si>
    <t>Государственное бюджетное учреждение здравоохранения "Городская больница № 2"</t>
  </si>
  <si>
    <t>Государственное бюджетное учреждение здравоохранения "Городская детская больница"</t>
  </si>
  <si>
    <t>Государственное бюджетное учреждение здравоохранения "Городская поликлиника № 5"</t>
  </si>
  <si>
    <t>Акционерное общество  "Волжский трубный завод"</t>
  </si>
  <si>
    <t>Государственное автономное учреждение здравоохранения "Волжская городская стоматологическая поликлиника"</t>
  </si>
  <si>
    <t>Государственное бюджетное учреждение здравоохранения "Городская детская поликлиника № 2"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</si>
  <si>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</si>
  <si>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Государственное бюджетное учреждение здравоохранения "Быковская центральная районная больница"</t>
  </si>
  <si>
    <t>Государственное бюджетное учреждение здравоохранения "Городищенская центральная районная больница"</t>
  </si>
  <si>
    <t>Государственное бюджетное учреждение здравоохранения "Даниловская центральная районная больница"</t>
  </si>
  <si>
    <t>Государственное бюджетное учреждение здравоохранения "Центральная районная больница Дубовского муниципального района"</t>
  </si>
  <si>
    <t>Государственное бюджетное учреждение здравоохранения Еланская центральная районная больница Волгоградской области</t>
  </si>
  <si>
    <t>Государственное  учреждение здравоохранения "Жирновская центральная районная больница"</t>
  </si>
  <si>
    <t>Государственное автономное учреждение здравоохранения "Жирновская стоматологическая поликлиника"</t>
  </si>
  <si>
    <t>Государственное бюджетное учреждение здравоохранения "Иловлинская центральная районная больница"</t>
  </si>
  <si>
    <t>Государственное бюджетное учреждение здравоохранения "Калачевская центральная районная больница"</t>
  </si>
  <si>
    <t>Государственное бюджетное учреждение здравоохранения г.Камышина "Городская больница № 1"</t>
  </si>
  <si>
    <t>Государственное бюджетное учреждение здравоохранения "Центральная городская больница г.Камышина"</t>
  </si>
  <si>
    <t>Государственное бюджетное учреждение здравоохранения "Камышинская детская городская больница"</t>
  </si>
  <si>
    <t>Государственное автономное учреждение здравоохранения г. Камышина "Стоматологическая поликлиника № 1"</t>
  </si>
  <si>
    <t>Государственное бюджетное учреждение здравоохранения "Киквидзенская центральная районная больница"</t>
  </si>
  <si>
    <t>Государственное бюджетное учреждение здравоохранения "Центральная районная больница Клетского муниципального района Волгоградской области"</t>
  </si>
  <si>
    <t>Государственное бюджетное учреждение здравоохранения "Котельниковская центральная районная больница"</t>
  </si>
  <si>
    <t>Государственное бюджетное учреждение здравоохранения "Центральная районная больница" Котовского муниципального района</t>
  </si>
  <si>
    <t>Государственное автономное учреждение здравоохранения "Котовская стоматологическая поликлиника"</t>
  </si>
  <si>
    <t>Государственное бюджетное учреждение здравоохранения "Ленинская центральная районная больница"</t>
  </si>
  <si>
    <t>Государственное бюджетное учреждение здравоохранения "Михайловская центральная районная больница"</t>
  </si>
  <si>
    <t>Государственное бюджетное учреждение здравоохранения "Михайловская городская детская больница"</t>
  </si>
  <si>
    <t>Государственное автономное учреждение здравоохранения "Михайловская стоматологическая поликлиника"</t>
  </si>
  <si>
    <t>Государственное бюджетное учреждение здравоохранения "Нехаевская центральная районная больница"</t>
  </si>
  <si>
    <t>Государственное бюджетное учреждение здравоохранения "Николаевская центральная районная больница"</t>
  </si>
  <si>
    <t>Государственное бюджетное учреждение здравоохранения "Новоаннинская центральная районная больница"</t>
  </si>
  <si>
    <t>Государственное бюджетное учреждение здравоохранения "Новониколаевская центральная районная больница"</t>
  </si>
  <si>
    <t>Государственное бюджетное учреждение здравоохранения "Октябрьская центральная районная больница"</t>
  </si>
  <si>
    <t>Государственное бюджетное учреждение здравоохранения "Центральная районная больница Ольховского муниципального района"</t>
  </si>
  <si>
    <t>Государственное бюджетное учреждение здравоохранения "Палласовская центральная районная больница"</t>
  </si>
  <si>
    <t>Государственное бюджетное учреждение здравоохранения "Кумылженская центральная районная больница"</t>
  </si>
  <si>
    <t>Государственное бюджетное учреждение Руднянского муниципального района Волгоградской области "Центральная районная больница Руднянского муниципального района"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</si>
  <si>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</si>
  <si>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Государственное бюджетное учреждение здравоохранения "Серафимовичская Центральная районная больница"</t>
  </si>
  <si>
    <t>Государственное бюджетное учреждение здравоохранения "Среднеахтубинская центральная районная больница"</t>
  </si>
  <si>
    <t>Государственное бюджетное учреждение здравоохранения "Старополтавская центральная районная больница"</t>
  </si>
  <si>
    <t>Государственное бюджетное учреждение здравоохранения "Центральная районная больница Суровикинского муниципального района", Волгоградская область, город Суровикино</t>
  </si>
  <si>
    <t>Государственное  бюджетное учреждение здравоохранения Урюпинская центральная районная больница имени В.Ф. Жогова</t>
  </si>
  <si>
    <t>Закрытое акционерное общество  "Стоматолог"</t>
  </si>
  <si>
    <t>Государственное бюджетное учреждение здравоохранения "Фроловская центральная районная больница"</t>
  </si>
  <si>
    <t>Государственное автономное учреждение здравоохранения "Стоматологическая поликлиника"</t>
  </si>
  <si>
    <t>Государственное бюджетное учреждение здравоохранения Чернышковская Центральная районная больница</t>
  </si>
  <si>
    <t>Частное учреждение здравоохранения "Клиническая больница "РЖД-Медицина" города Волгоград"</t>
  </si>
  <si>
    <t>Федеральное казенное учреждение здравоохранения "Медико-санитарная часть Министерства внутренних дел Российской Федерации по Волгоградской области"</t>
  </si>
  <si>
    <t>Федеральное государственное бюджетное учреждение "413 военный госпиталь" Министерства обороны Российской Федерации</t>
  </si>
  <si>
    <t>Федеральное государственное бюджетное учреждение "Северо-Кавказский федеральный научно-клинический центр" Федерального медико-биологического агентства"</t>
  </si>
  <si>
    <t>Общество с ограниченной ответственностью "Геном-Волга"</t>
  </si>
  <si>
    <t>Общество с ограниченной ответственностью "Медси-Волгоград"</t>
  </si>
  <si>
    <t>Общество с ограниченной ответственностью "ЦЕНТР ЭКО"</t>
  </si>
  <si>
    <t>Акционерное общество "Многопрофильный Медицинский Центр"</t>
  </si>
  <si>
    <t>Акционерное общество Медицинское научно-производственное объединение "Клиника "Движение"</t>
  </si>
  <si>
    <t>Общество с ограниченной ответственностью "Центр лазерной коррекции и микрохирургии"</t>
  </si>
  <si>
    <t>общество с ограниченной ответственностью "СитиМед"</t>
  </si>
  <si>
    <t>Филиал Общества с ограниченной ответственностью "РУСАЛ Медицинский Центр" в г.Волгограде</t>
  </si>
  <si>
    <t>Акционерное общество "Федеральный научно-производственный центр "Титан-Баррикады"</t>
  </si>
  <si>
    <t>Общество с ограниченной ответственностью "Стома-ВИД"</t>
  </si>
  <si>
    <t>Общество с ограниченной ответственностью "Стоматологическая поликлиника "Лазурь"</t>
  </si>
  <si>
    <t>Общество с ограниченной ответственностью "ЕвропаДент"</t>
  </si>
  <si>
    <t>Общество с ограниченной ответственностью "Аполлония"</t>
  </si>
  <si>
    <t>Общество с ограниченной ответственностью "ВИТА"</t>
  </si>
  <si>
    <t>Общество с ограниченной ответственностью "Виктория"</t>
  </si>
  <si>
    <t>Общество с ограниченной ответственностью "Югра"</t>
  </si>
  <si>
    <t>Общество с ограниченной ответственностью "Магия улыбки"</t>
  </si>
  <si>
    <t>Общество с ограниченной ответственностью "ГЕМОТЕСТ ЮГ"</t>
  </si>
  <si>
    <t>Общество с ограниченной ответственностью "Волгамедлаб"</t>
  </si>
  <si>
    <t>Общество с ограниченной ответственностью "Лечебный диагностический центр Международного института биологических систем - Волгоград"</t>
  </si>
  <si>
    <t>Общество с ограниченной ответственностью "Медицинская клиника "Рефлекс"</t>
  </si>
  <si>
    <t>Общество с ограниченной ответственностью "Центр Диализа Астрахань"</t>
  </si>
  <si>
    <t>Общество с ограниченной ответственностью "Сияние Волгоград"</t>
  </si>
  <si>
    <t>Негосударственное медицинское частное учреждение "ЗДОРОВЬЕ+"</t>
  </si>
  <si>
    <t>Общество с ограниченной ответственностью "Клиника Академическая"</t>
  </si>
  <si>
    <t>Общество с ограниченной ответственностью Диагностический Центр "Черноземье Регион Плюс"</t>
  </si>
  <si>
    <t>Общество с ограниченной ответственностью "ДИАЛИЗ СП"</t>
  </si>
  <si>
    <t>Общество с ограниченной ответственностью "Звезда"</t>
  </si>
  <si>
    <t>Общество с ограниченной ответственностью "Диагностика Экстра-Камышин"</t>
  </si>
  <si>
    <t>Общество с ограниченной ответственностью "Деметра Плюс"</t>
  </si>
  <si>
    <t>Общество с ограниченной ответственностью "Амбулатория "Грязеводолечебница"</t>
  </si>
  <si>
    <t>Общество с ограниченной ответственностью "М-ЛАЙН"</t>
  </si>
  <si>
    <t>Общество с ограниченной ответственностью "Региональная Диагностическая Лаборатория"</t>
  </si>
  <si>
    <t>Общество с ограниченной ответственностью "МЕДТЕХНИКА"</t>
  </si>
  <si>
    <t>Общество с ограниченной ответственностью "Клиника Семья</t>
  </si>
  <si>
    <t>Общество с ограниченной ответственностью "Центр коррекции и восстановления зрения"</t>
  </si>
  <si>
    <t>Общество с ограниченной ответственностью "Поликлиника доктора Парамонова"</t>
  </si>
  <si>
    <t>Общество с ограниченной ответственностью "Спектр-Диагностика Волгоград"</t>
  </si>
  <si>
    <t>Общество с ограниченной ответственностью "Научно-производственная Фирма "ХЕЛИКС"</t>
  </si>
  <si>
    <t>Общество с ограниченной ответственностью "Ядерные медицинские технологии"</t>
  </si>
  <si>
    <t>Общество с ограниченной ответственностью "Локальный диагностический центр-Волгоград"</t>
  </si>
  <si>
    <t>Общество с ограниченной ответственностью "Центр хирургии глаза"</t>
  </si>
  <si>
    <t>Общество с ограниченной ответственностью "ВИТАЛАБ"</t>
  </si>
  <si>
    <t>Общество с ограниченной ответственностью "ВЕРО"</t>
  </si>
  <si>
    <t>Общество с ограниченной ответственностью "ОКО ПЛЮС"</t>
  </si>
  <si>
    <t>Общество с ограниченной ответственностью "ИНВИТРО-Ростов-на-Дону"</t>
  </si>
  <si>
    <t>Общество с ограниченной ответственностью "Волгоградский Флебологический Центр Профессора Ларина С.И."</t>
  </si>
  <si>
    <t>Общество с ограниченной ответственностью "Клиника семейного здоровья"</t>
  </si>
  <si>
    <t>Общество с ограниченной ответственностью "Медтранс"</t>
  </si>
  <si>
    <t>Общество с ограниченной ответственностью Станция Скорой Медицинской Помощи "Неотложка"</t>
  </si>
  <si>
    <t>Государственное бюджетное учреждение здравоохранения "Волгоградская областная клиническая больница № 1", Волгоград</t>
  </si>
  <si>
    <t>компклексное посещение с целью медицинской реабилитации</t>
  </si>
  <si>
    <t>(с изменениями от 31.01.2024, 05.03.2024)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</si>
</sst>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vertical="top" wrapText="1"/>
    </xf>
    <xf numFmtId="9" fontId="1" fillId="0" borderId="0" xfId="1" applyFont="1" applyFill="1" applyAlignment="1">
      <alignment vertical="top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3300"/>
      <color rgb="FFFFFF66"/>
      <color rgb="FFFF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5"/>
  <sheetViews>
    <sheetView tabSelected="1" workbookViewId="0">
      <pane xSplit="2" ySplit="9" topLeftCell="C174" activePane="bottomRight" state="frozen"/>
      <selection pane="topRight" activeCell="D1" sqref="D1"/>
      <selection pane="bottomLeft" activeCell="A10" sqref="A10"/>
      <selection pane="bottomRight" activeCell="E193" sqref="E193"/>
    </sheetView>
  </sheetViews>
  <sheetFormatPr defaultRowHeight="12.75"/>
  <cols>
    <col min="1" max="1" width="7.42578125" style="6" bestFit="1" customWidth="1"/>
    <col min="2" max="2" width="50.7109375" style="6" customWidth="1"/>
    <col min="3" max="9" width="10.7109375" style="1" customWidth="1"/>
    <col min="10" max="55" width="10.7109375" style="5" customWidth="1"/>
    <col min="56" max="56" width="10.7109375" style="1" customWidth="1"/>
    <col min="57" max="16384" width="9.140625" style="5"/>
  </cols>
  <sheetData>
    <row r="1" spans="1:56">
      <c r="A1" s="1"/>
      <c r="B1" s="2"/>
      <c r="C1" s="3" t="s">
        <v>57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6">
      <c r="B2" s="7" t="s">
        <v>236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s="6" customFormat="1">
      <c r="A3" s="9"/>
      <c r="B3" s="9"/>
      <c r="C3" s="8"/>
      <c r="D3" s="8"/>
      <c r="E3" s="8"/>
      <c r="F3" s="9"/>
      <c r="G3" s="9"/>
      <c r="H3" s="8"/>
      <c r="I3" s="8"/>
      <c r="J3" s="8"/>
      <c r="K3" s="9"/>
      <c r="L3" s="9"/>
      <c r="M3" s="8"/>
      <c r="N3" s="8"/>
      <c r="O3" s="8"/>
      <c r="P3" s="8"/>
      <c r="Q3" s="8"/>
      <c r="R3" s="9"/>
      <c r="S3" s="9"/>
      <c r="T3" s="8"/>
      <c r="U3" s="8"/>
      <c r="V3" s="8"/>
      <c r="W3" s="8"/>
      <c r="X3" s="9"/>
      <c r="Y3" s="9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8"/>
      <c r="AM3" s="8"/>
      <c r="AN3" s="8"/>
      <c r="AO3" s="8"/>
      <c r="AP3" s="9"/>
      <c r="AQ3" s="9"/>
      <c r="AR3" s="8"/>
      <c r="AS3" s="8"/>
      <c r="AT3" s="8"/>
      <c r="AU3" s="8"/>
      <c r="AV3" s="8"/>
      <c r="AW3" s="9"/>
      <c r="AX3" s="9"/>
      <c r="AY3" s="8"/>
      <c r="AZ3" s="8"/>
      <c r="BA3" s="8"/>
      <c r="BB3" s="8"/>
      <c r="BC3" s="9"/>
      <c r="BD3" s="9"/>
    </row>
    <row r="4" spans="1:56" s="6" customFormat="1">
      <c r="A4" s="39" t="s">
        <v>5</v>
      </c>
      <c r="B4" s="40" t="s">
        <v>6</v>
      </c>
      <c r="C4" s="29" t="s">
        <v>7</v>
      </c>
      <c r="D4" s="29"/>
      <c r="E4" s="29"/>
      <c r="F4" s="29"/>
      <c r="G4" s="41" t="s">
        <v>8</v>
      </c>
      <c r="H4" s="42"/>
      <c r="I4" s="43"/>
      <c r="J4" s="34" t="s">
        <v>9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25" t="s">
        <v>10</v>
      </c>
    </row>
    <row r="5" spans="1:56" s="6" customFormat="1" ht="12.75" customHeight="1">
      <c r="A5" s="39"/>
      <c r="B5" s="40"/>
      <c r="C5" s="29" t="s">
        <v>11</v>
      </c>
      <c r="D5" s="29" t="s">
        <v>12</v>
      </c>
      <c r="E5" s="29"/>
      <c r="F5" s="29"/>
      <c r="G5" s="44"/>
      <c r="H5" s="45"/>
      <c r="I5" s="46"/>
      <c r="J5" s="31" t="s">
        <v>13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3"/>
      <c r="AL5" s="31" t="s">
        <v>14</v>
      </c>
      <c r="AM5" s="32"/>
      <c r="AN5" s="32"/>
      <c r="AO5" s="33"/>
      <c r="AP5" s="31" t="s">
        <v>15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26"/>
    </row>
    <row r="6" spans="1:56">
      <c r="A6" s="39"/>
      <c r="B6" s="40"/>
      <c r="C6" s="29"/>
      <c r="D6" s="29" t="s">
        <v>16</v>
      </c>
      <c r="E6" s="29" t="s">
        <v>1</v>
      </c>
      <c r="F6" s="29" t="s">
        <v>2</v>
      </c>
      <c r="G6" s="29" t="s">
        <v>17</v>
      </c>
      <c r="H6" s="47" t="s">
        <v>12</v>
      </c>
      <c r="I6" s="48"/>
      <c r="J6" s="29" t="s">
        <v>18</v>
      </c>
      <c r="K6" s="29" t="s">
        <v>12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5" t="s">
        <v>19</v>
      </c>
      <c r="Z6" s="25" t="s">
        <v>20</v>
      </c>
      <c r="AA6" s="28" t="s">
        <v>12</v>
      </c>
      <c r="AB6" s="28"/>
      <c r="AC6" s="28"/>
      <c r="AD6" s="28"/>
      <c r="AE6" s="28"/>
      <c r="AF6" s="29" t="s">
        <v>235</v>
      </c>
      <c r="AG6" s="36" t="s">
        <v>61</v>
      </c>
      <c r="AH6" s="28" t="s">
        <v>62</v>
      </c>
      <c r="AI6" s="28"/>
      <c r="AJ6" s="28"/>
      <c r="AK6" s="28"/>
      <c r="AL6" s="25" t="s">
        <v>21</v>
      </c>
      <c r="AM6" s="25" t="s">
        <v>22</v>
      </c>
      <c r="AN6" s="25" t="s">
        <v>23</v>
      </c>
      <c r="AO6" s="25" t="s">
        <v>24</v>
      </c>
      <c r="AP6" s="25" t="s">
        <v>25</v>
      </c>
      <c r="AQ6" s="25" t="s">
        <v>26</v>
      </c>
      <c r="AR6" s="25" t="s">
        <v>27</v>
      </c>
      <c r="AS6" s="25" t="s">
        <v>28</v>
      </c>
      <c r="AT6" s="25" t="s">
        <v>67</v>
      </c>
      <c r="AU6" s="25" t="s">
        <v>29</v>
      </c>
      <c r="AV6" s="25" t="s">
        <v>30</v>
      </c>
      <c r="AW6" s="25" t="s">
        <v>31</v>
      </c>
      <c r="AX6" s="29" t="s">
        <v>32</v>
      </c>
      <c r="AY6" s="29"/>
      <c r="AZ6" s="29"/>
      <c r="BA6" s="29"/>
      <c r="BB6" s="29"/>
      <c r="BC6" s="29"/>
      <c r="BD6" s="26"/>
    </row>
    <row r="7" spans="1:56" ht="12.75" customHeight="1">
      <c r="A7" s="39"/>
      <c r="B7" s="40"/>
      <c r="C7" s="29"/>
      <c r="D7" s="29"/>
      <c r="E7" s="29"/>
      <c r="F7" s="29"/>
      <c r="G7" s="29"/>
      <c r="H7" s="29" t="s">
        <v>16</v>
      </c>
      <c r="I7" s="29" t="s">
        <v>2</v>
      </c>
      <c r="J7" s="29"/>
      <c r="K7" s="29" t="s">
        <v>33</v>
      </c>
      <c r="L7" s="29" t="s">
        <v>12</v>
      </c>
      <c r="M7" s="29"/>
      <c r="N7" s="29"/>
      <c r="O7" s="29"/>
      <c r="P7" s="29"/>
      <c r="Q7" s="29"/>
      <c r="R7" s="29"/>
      <c r="S7" s="29"/>
      <c r="T7" s="29"/>
      <c r="U7" s="29" t="s">
        <v>34</v>
      </c>
      <c r="V7" s="29" t="s">
        <v>12</v>
      </c>
      <c r="W7" s="29"/>
      <c r="X7" s="29"/>
      <c r="Y7" s="26"/>
      <c r="Z7" s="26"/>
      <c r="AA7" s="29" t="s">
        <v>35</v>
      </c>
      <c r="AB7" s="29" t="s">
        <v>36</v>
      </c>
      <c r="AC7" s="25" t="s">
        <v>46</v>
      </c>
      <c r="AD7" s="29" t="s">
        <v>59</v>
      </c>
      <c r="AE7" s="29"/>
      <c r="AF7" s="29"/>
      <c r="AG7" s="37"/>
      <c r="AH7" s="29" t="s">
        <v>63</v>
      </c>
      <c r="AI7" s="29" t="s">
        <v>64</v>
      </c>
      <c r="AJ7" s="29" t="s">
        <v>65</v>
      </c>
      <c r="AK7" s="29" t="s">
        <v>66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 t="s">
        <v>37</v>
      </c>
      <c r="AY7" s="25" t="s">
        <v>38</v>
      </c>
      <c r="AZ7" s="25" t="s">
        <v>40</v>
      </c>
      <c r="BA7" s="25" t="s">
        <v>39</v>
      </c>
      <c r="BB7" s="25" t="s">
        <v>41</v>
      </c>
      <c r="BC7" s="25" t="s">
        <v>42</v>
      </c>
      <c r="BD7" s="26"/>
    </row>
    <row r="8" spans="1:56" ht="12.75" customHeight="1">
      <c r="A8" s="39"/>
      <c r="B8" s="40"/>
      <c r="C8" s="29"/>
      <c r="D8" s="29"/>
      <c r="E8" s="29"/>
      <c r="F8" s="29"/>
      <c r="G8" s="29"/>
      <c r="H8" s="29"/>
      <c r="I8" s="29"/>
      <c r="J8" s="29"/>
      <c r="K8" s="29"/>
      <c r="L8" s="29" t="s">
        <v>43</v>
      </c>
      <c r="M8" s="29" t="s">
        <v>12</v>
      </c>
      <c r="N8" s="29"/>
      <c r="O8" s="29" t="s">
        <v>44</v>
      </c>
      <c r="P8" s="29" t="s">
        <v>12</v>
      </c>
      <c r="Q8" s="29"/>
      <c r="R8" s="29"/>
      <c r="S8" s="29"/>
      <c r="T8" s="29"/>
      <c r="U8" s="29"/>
      <c r="V8" s="29" t="s">
        <v>45</v>
      </c>
      <c r="W8" s="29" t="s">
        <v>47</v>
      </c>
      <c r="X8" s="29" t="s">
        <v>48</v>
      </c>
      <c r="Y8" s="26"/>
      <c r="Z8" s="26"/>
      <c r="AA8" s="29"/>
      <c r="AB8" s="29"/>
      <c r="AC8" s="26"/>
      <c r="AD8" s="30" t="s">
        <v>60</v>
      </c>
      <c r="AE8" s="29" t="s">
        <v>58</v>
      </c>
      <c r="AF8" s="29"/>
      <c r="AG8" s="37"/>
      <c r="AH8" s="29"/>
      <c r="AI8" s="29"/>
      <c r="AJ8" s="29"/>
      <c r="AK8" s="29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6" customFormat="1" ht="114.75">
      <c r="A9" s="39"/>
      <c r="B9" s="40"/>
      <c r="C9" s="29"/>
      <c r="D9" s="29"/>
      <c r="E9" s="29"/>
      <c r="F9" s="29"/>
      <c r="G9" s="29"/>
      <c r="H9" s="29"/>
      <c r="I9" s="29"/>
      <c r="J9" s="29"/>
      <c r="K9" s="29"/>
      <c r="L9" s="29"/>
      <c r="M9" s="24" t="s">
        <v>49</v>
      </c>
      <c r="N9" s="24" t="s">
        <v>50</v>
      </c>
      <c r="O9" s="29"/>
      <c r="P9" s="24" t="s">
        <v>51</v>
      </c>
      <c r="Q9" s="24"/>
      <c r="R9" s="24" t="s">
        <v>52</v>
      </c>
      <c r="S9" s="24" t="s">
        <v>53</v>
      </c>
      <c r="T9" s="24" t="s">
        <v>54</v>
      </c>
      <c r="U9" s="29"/>
      <c r="V9" s="29"/>
      <c r="W9" s="29"/>
      <c r="X9" s="29"/>
      <c r="Y9" s="27"/>
      <c r="Z9" s="27"/>
      <c r="AA9" s="29"/>
      <c r="AB9" s="29"/>
      <c r="AC9" s="27"/>
      <c r="AD9" s="30"/>
      <c r="AE9" s="29"/>
      <c r="AF9" s="29"/>
      <c r="AG9" s="38"/>
      <c r="AH9" s="29"/>
      <c r="AI9" s="29"/>
      <c r="AJ9" s="29"/>
      <c r="AK9" s="29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ht="12.75" customHeight="1">
      <c r="A10" s="10">
        <v>101001</v>
      </c>
      <c r="B10" s="11" t="s">
        <v>234</v>
      </c>
      <c r="C10" s="12">
        <f t="shared" ref="C10:C19" si="0">D10+E10+F10</f>
        <v>24800</v>
      </c>
      <c r="D10" s="12">
        <f>24300-1402</f>
        <v>22898</v>
      </c>
      <c r="E10" s="12">
        <v>1402</v>
      </c>
      <c r="F10" s="12">
        <v>500</v>
      </c>
      <c r="G10" s="12">
        <f>H10+I10</f>
        <v>1550</v>
      </c>
      <c r="H10" s="12">
        <v>1500</v>
      </c>
      <c r="I10" s="12">
        <v>50</v>
      </c>
      <c r="J10" s="14">
        <f>K10+U10</f>
        <v>125300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f>V10+W10+X10</f>
        <v>125300</v>
      </c>
      <c r="V10" s="14">
        <v>125300</v>
      </c>
      <c r="W10" s="14"/>
      <c r="X10" s="14"/>
      <c r="Y10" s="14">
        <v>5300</v>
      </c>
      <c r="Z10" s="14">
        <f>AA10+AB10+AD10+AE10+AC10</f>
        <v>4830</v>
      </c>
      <c r="AA10" s="14">
        <v>830</v>
      </c>
      <c r="AB10" s="14">
        <v>4000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7000</v>
      </c>
      <c r="AM10" s="14">
        <v>5000</v>
      </c>
      <c r="AN10" s="14">
        <v>1500</v>
      </c>
      <c r="AO10" s="14">
        <v>2500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2"/>
    </row>
    <row r="11" spans="1:56" ht="25.5">
      <c r="A11" s="10">
        <v>101002</v>
      </c>
      <c r="B11" s="11" t="s">
        <v>74</v>
      </c>
      <c r="C11" s="12">
        <f t="shared" si="0"/>
        <v>15400</v>
      </c>
      <c r="D11" s="12">
        <f>13700-210</f>
        <v>13490</v>
      </c>
      <c r="E11" s="12">
        <v>210</v>
      </c>
      <c r="F11" s="12">
        <v>1700</v>
      </c>
      <c r="G11" s="12">
        <f>H11+I11</f>
        <v>800</v>
      </c>
      <c r="H11" s="12"/>
      <c r="I11" s="12">
        <v>800</v>
      </c>
      <c r="J11" s="14">
        <f>K11+U11</f>
        <v>55100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f>V11+W11+X11</f>
        <v>55100</v>
      </c>
      <c r="V11" s="14">
        <v>55100</v>
      </c>
      <c r="W11" s="14"/>
      <c r="X11" s="14"/>
      <c r="Y11" s="14">
        <v>1460</v>
      </c>
      <c r="Z11" s="14">
        <f>AA11+AB11+AD11+AE11+AC11</f>
        <v>1150</v>
      </c>
      <c r="AA11" s="14">
        <v>1150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1250</v>
      </c>
      <c r="AM11" s="14">
        <v>2000</v>
      </c>
      <c r="AN11" s="14">
        <v>2500</v>
      </c>
      <c r="AO11" s="14">
        <v>1000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2"/>
    </row>
    <row r="12" spans="1:56" ht="38.25">
      <c r="A12" s="10">
        <v>101003</v>
      </c>
      <c r="B12" s="11" t="s">
        <v>75</v>
      </c>
      <c r="C12" s="12">
        <f t="shared" si="0"/>
        <v>5500</v>
      </c>
      <c r="D12" s="12">
        <v>3800</v>
      </c>
      <c r="E12" s="12"/>
      <c r="F12" s="12">
        <v>1700</v>
      </c>
      <c r="G12" s="12">
        <f>H12+I12</f>
        <v>700</v>
      </c>
      <c r="H12" s="12">
        <v>700</v>
      </c>
      <c r="I12" s="12"/>
      <c r="J12" s="14">
        <f>K12+U12</f>
        <v>38630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f>V12+W12+X12</f>
        <v>38630</v>
      </c>
      <c r="V12" s="14">
        <f>38630-370</f>
        <v>38260</v>
      </c>
      <c r="W12" s="14">
        <v>370</v>
      </c>
      <c r="X12" s="14"/>
      <c r="Y12" s="14">
        <v>700</v>
      </c>
      <c r="Z12" s="14">
        <f>AA12+AB12+AD12+AE12+AC12</f>
        <v>41770</v>
      </c>
      <c r="AA12" s="14">
        <v>41770</v>
      </c>
      <c r="AB12" s="14"/>
      <c r="AC12" s="14"/>
      <c r="AD12" s="14"/>
      <c r="AE12" s="14"/>
      <c r="AF12" s="14">
        <v>200</v>
      </c>
      <c r="AG12" s="14"/>
      <c r="AH12" s="14"/>
      <c r="AI12" s="14"/>
      <c r="AJ12" s="14"/>
      <c r="AK12" s="14"/>
      <c r="AL12" s="14">
        <v>4500</v>
      </c>
      <c r="AM12" s="14"/>
      <c r="AN12" s="14">
        <v>1200</v>
      </c>
      <c r="AO12" s="14">
        <v>1200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2"/>
    </row>
    <row r="13" spans="1:56" ht="25.5">
      <c r="A13" s="10">
        <v>101004</v>
      </c>
      <c r="B13" s="11" t="s">
        <v>76</v>
      </c>
      <c r="C13" s="12">
        <f t="shared" si="0"/>
        <v>610</v>
      </c>
      <c r="D13" s="12">
        <f>610-129</f>
        <v>481</v>
      </c>
      <c r="E13" s="12">
        <v>129</v>
      </c>
      <c r="F13" s="12"/>
      <c r="G13" s="12">
        <f>H13+I13</f>
        <v>360</v>
      </c>
      <c r="H13" s="12">
        <v>360</v>
      </c>
      <c r="I13" s="12"/>
      <c r="J13" s="14">
        <f>K13+U13</f>
        <v>4760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f>V13+W13+X13</f>
        <v>4760</v>
      </c>
      <c r="V13" s="14">
        <v>4760</v>
      </c>
      <c r="W13" s="14"/>
      <c r="X13" s="14"/>
      <c r="Y13" s="14"/>
      <c r="Z13" s="14">
        <f>AA13+AB13+AD13+AE13+AC13</f>
        <v>3670</v>
      </c>
      <c r="AA13" s="14">
        <v>1270</v>
      </c>
      <c r="AB13" s="14"/>
      <c r="AC13" s="14"/>
      <c r="AD13" s="23">
        <f>1080+120</f>
        <v>1200</v>
      </c>
      <c r="AE13" s="23">
        <f>1440-240</f>
        <v>1200</v>
      </c>
      <c r="AF13" s="14"/>
      <c r="AG13" s="14"/>
      <c r="AH13" s="14"/>
      <c r="AI13" s="14"/>
      <c r="AJ13" s="14"/>
      <c r="AK13" s="14"/>
      <c r="AL13" s="14"/>
      <c r="AM13" s="14"/>
      <c r="AN13" s="14">
        <v>50</v>
      </c>
      <c r="AO13" s="14">
        <v>0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2"/>
    </row>
    <row r="14" spans="1:56" ht="38.25">
      <c r="A14" s="10">
        <v>101201</v>
      </c>
      <c r="B14" s="11" t="s">
        <v>77</v>
      </c>
      <c r="C14" s="12">
        <f t="shared" si="0"/>
        <v>7000</v>
      </c>
      <c r="D14" s="12">
        <f>5300-108</f>
        <v>5192</v>
      </c>
      <c r="E14" s="12">
        <v>108</v>
      </c>
      <c r="F14" s="12">
        <v>1700</v>
      </c>
      <c r="G14" s="12"/>
      <c r="H14" s="12"/>
      <c r="I14" s="12"/>
      <c r="J14" s="14">
        <f>K14+U14</f>
        <v>24070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f>V14+W14+X14</f>
        <v>24070</v>
      </c>
      <c r="V14" s="14">
        <v>24070</v>
      </c>
      <c r="W14" s="14"/>
      <c r="X14" s="14"/>
      <c r="Y14" s="14"/>
      <c r="Z14" s="14">
        <f>AA14+AB14+AD14+AE14+AC14</f>
        <v>2350</v>
      </c>
      <c r="AA14" s="14">
        <v>2350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>
        <v>100</v>
      </c>
      <c r="AM14" s="14"/>
      <c r="AN14" s="14">
        <v>200</v>
      </c>
      <c r="AO14" s="14">
        <v>100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2"/>
    </row>
    <row r="15" spans="1:56" ht="38.25">
      <c r="A15" s="10">
        <v>101302</v>
      </c>
      <c r="B15" s="11" t="s">
        <v>78</v>
      </c>
      <c r="C15" s="12">
        <f t="shared" si="0"/>
        <v>4600</v>
      </c>
      <c r="D15" s="12">
        <v>4600</v>
      </c>
      <c r="E15" s="12"/>
      <c r="F15" s="12"/>
      <c r="G15" s="12">
        <f>H15+I15</f>
        <v>800</v>
      </c>
      <c r="H15" s="12">
        <v>800</v>
      </c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1200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>
        <v>1000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2"/>
    </row>
    <row r="16" spans="1:56" ht="38.25">
      <c r="A16" s="10">
        <v>101309</v>
      </c>
      <c r="B16" s="11" t="s">
        <v>79</v>
      </c>
      <c r="C16" s="12">
        <f t="shared" si="0"/>
        <v>3400</v>
      </c>
      <c r="D16" s="12">
        <v>3400</v>
      </c>
      <c r="E16" s="12"/>
      <c r="F16" s="12"/>
      <c r="G16" s="12">
        <f>H16+I16</f>
        <v>200</v>
      </c>
      <c r="H16" s="12">
        <v>200</v>
      </c>
      <c r="I16" s="12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v>300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2"/>
    </row>
    <row r="17" spans="1:56" ht="76.5">
      <c r="A17" s="10">
        <v>101801</v>
      </c>
      <c r="B17" s="11" t="s">
        <v>80</v>
      </c>
      <c r="C17" s="12">
        <f t="shared" si="0"/>
        <v>100</v>
      </c>
      <c r="D17" s="12">
        <v>100</v>
      </c>
      <c r="E17" s="12"/>
      <c r="F17" s="12"/>
      <c r="G17" s="12">
        <f>H17+I17</f>
        <v>2000</v>
      </c>
      <c r="H17" s="12">
        <v>2000</v>
      </c>
      <c r="I17" s="1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f t="shared" ref="Z17:Z22" si="1">AA17+AB17+AD17+AE17+AC17</f>
        <v>2000</v>
      </c>
      <c r="AA17" s="14">
        <v>2000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2"/>
    </row>
    <row r="18" spans="1:56" ht="38.25">
      <c r="A18" s="10">
        <v>102604</v>
      </c>
      <c r="B18" s="11" t="s">
        <v>81</v>
      </c>
      <c r="C18" s="12">
        <f t="shared" si="0"/>
        <v>800</v>
      </c>
      <c r="D18" s="12">
        <v>800</v>
      </c>
      <c r="E18" s="12"/>
      <c r="F18" s="12"/>
      <c r="G18" s="12">
        <f>H18+I18</f>
        <v>5100</v>
      </c>
      <c r="H18" s="12">
        <v>5100</v>
      </c>
      <c r="I18" s="12"/>
      <c r="J18" s="14">
        <f t="shared" ref="J18:J24" si="2">K18+U18</f>
        <v>117060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f t="shared" ref="U18:U24" si="3">V18+W18+X18</f>
        <v>117060</v>
      </c>
      <c r="V18" s="14">
        <v>117060</v>
      </c>
      <c r="W18" s="14"/>
      <c r="X18" s="14"/>
      <c r="Y18" s="14"/>
      <c r="Z18" s="14">
        <f t="shared" si="1"/>
        <v>83340</v>
      </c>
      <c r="AA18" s="14">
        <v>83340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2"/>
    </row>
    <row r="19" spans="1:56" ht="38.25">
      <c r="A19" s="10">
        <v>103001</v>
      </c>
      <c r="B19" s="11" t="s">
        <v>82</v>
      </c>
      <c r="C19" s="12">
        <f t="shared" si="0"/>
        <v>25120</v>
      </c>
      <c r="D19" s="12">
        <f>24470-1449</f>
        <v>23021</v>
      </c>
      <c r="E19" s="12">
        <v>1449</v>
      </c>
      <c r="F19" s="12">
        <v>650</v>
      </c>
      <c r="G19" s="12">
        <f>H19+I19</f>
        <v>16160</v>
      </c>
      <c r="H19" s="12">
        <v>15800</v>
      </c>
      <c r="I19" s="12">
        <v>360</v>
      </c>
      <c r="J19" s="14">
        <f t="shared" si="2"/>
        <v>125000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t="shared" si="3"/>
        <v>125000</v>
      </c>
      <c r="V19" s="14">
        <v>125000</v>
      </c>
      <c r="W19" s="14"/>
      <c r="X19" s="14"/>
      <c r="Y19" s="14"/>
      <c r="Z19" s="14">
        <f t="shared" si="1"/>
        <v>13000</v>
      </c>
      <c r="AA19" s="14">
        <v>13000</v>
      </c>
      <c r="AB19" s="14"/>
      <c r="AC19" s="14"/>
      <c r="AD19" s="14"/>
      <c r="AE19" s="14"/>
      <c r="AF19" s="14">
        <v>800</v>
      </c>
      <c r="AG19" s="14"/>
      <c r="AH19" s="14"/>
      <c r="AI19" s="14"/>
      <c r="AJ19" s="14"/>
      <c r="AK19" s="14"/>
      <c r="AL19" s="14">
        <v>13000</v>
      </c>
      <c r="AM19" s="14">
        <v>6400</v>
      </c>
      <c r="AN19" s="14">
        <v>3000</v>
      </c>
      <c r="AO19" s="14">
        <v>7000</v>
      </c>
      <c r="AP19" s="14">
        <v>2500</v>
      </c>
      <c r="AQ19" s="14">
        <f>17640-1000</f>
        <v>16640</v>
      </c>
      <c r="AR19" s="14"/>
      <c r="AS19" s="14">
        <v>45000</v>
      </c>
      <c r="AT19" s="14">
        <v>2450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2"/>
    </row>
    <row r="20" spans="1:56" ht="38.25">
      <c r="A20" s="10">
        <v>104001</v>
      </c>
      <c r="B20" s="11" t="s">
        <v>83</v>
      </c>
      <c r="C20" s="12"/>
      <c r="D20" s="12"/>
      <c r="E20" s="12"/>
      <c r="F20" s="12"/>
      <c r="G20" s="12"/>
      <c r="H20" s="12"/>
      <c r="I20" s="12"/>
      <c r="J20" s="14">
        <f t="shared" si="2"/>
        <v>34200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f t="shared" si="3"/>
        <v>34200</v>
      </c>
      <c r="V20" s="14">
        <v>10800</v>
      </c>
      <c r="W20" s="14"/>
      <c r="X20" s="14">
        <v>23400</v>
      </c>
      <c r="Y20" s="14"/>
      <c r="Z20" s="14">
        <f t="shared" si="1"/>
        <v>39650</v>
      </c>
      <c r="AA20" s="14">
        <v>39650</v>
      </c>
      <c r="AB20" s="14"/>
      <c r="AC20" s="14"/>
      <c r="AD20" s="14"/>
      <c r="AE20" s="14"/>
      <c r="AF20" s="14">
        <v>4550</v>
      </c>
      <c r="AG20" s="14"/>
      <c r="AH20" s="14"/>
      <c r="AI20" s="14"/>
      <c r="AJ20" s="14"/>
      <c r="AK20" s="14"/>
      <c r="AL20" s="14"/>
      <c r="AM20" s="14"/>
      <c r="AN20" s="14">
        <v>500</v>
      </c>
      <c r="AO20" s="14">
        <v>0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2"/>
    </row>
    <row r="21" spans="1:56" ht="38.25">
      <c r="A21" s="10">
        <v>104401</v>
      </c>
      <c r="B21" s="11" t="s">
        <v>84</v>
      </c>
      <c r="C21" s="12">
        <f>D21+E21+F21</f>
        <v>6800</v>
      </c>
      <c r="D21" s="12">
        <f>6000-2505</f>
        <v>3495</v>
      </c>
      <c r="E21" s="12">
        <v>2505</v>
      </c>
      <c r="F21" s="12">
        <v>800</v>
      </c>
      <c r="G21" s="12"/>
      <c r="H21" s="12"/>
      <c r="I21" s="12"/>
      <c r="J21" s="14">
        <f t="shared" si="2"/>
        <v>96000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f t="shared" si="3"/>
        <v>96000</v>
      </c>
      <c r="V21" s="14">
        <v>96000</v>
      </c>
      <c r="W21" s="14"/>
      <c r="X21" s="14"/>
      <c r="Y21" s="14"/>
      <c r="Z21" s="14">
        <f t="shared" si="1"/>
        <v>370</v>
      </c>
      <c r="AA21" s="14">
        <v>370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>
        <v>3400</v>
      </c>
      <c r="AM21" s="14">
        <v>2200</v>
      </c>
      <c r="AN21" s="14">
        <v>27000</v>
      </c>
      <c r="AO21" s="14">
        <v>100</v>
      </c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2"/>
    </row>
    <row r="22" spans="1:56" ht="38.25">
      <c r="A22" s="10">
        <v>105301</v>
      </c>
      <c r="B22" s="11" t="s">
        <v>85</v>
      </c>
      <c r="C22" s="12"/>
      <c r="D22" s="12"/>
      <c r="E22" s="12"/>
      <c r="F22" s="12"/>
      <c r="G22" s="12"/>
      <c r="H22" s="12"/>
      <c r="I22" s="12"/>
      <c r="J22" s="14">
        <f t="shared" si="2"/>
        <v>65800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f t="shared" si="3"/>
        <v>65800</v>
      </c>
      <c r="V22" s="14">
        <v>65800</v>
      </c>
      <c r="W22" s="14"/>
      <c r="X22" s="14"/>
      <c r="Y22" s="14">
        <v>14050</v>
      </c>
      <c r="Z22" s="14">
        <f t="shared" si="1"/>
        <v>35600</v>
      </c>
      <c r="AA22" s="14">
        <v>35600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2"/>
    </row>
    <row r="23" spans="1:56" ht="38.25">
      <c r="A23" s="10">
        <v>106001</v>
      </c>
      <c r="B23" s="11" t="s">
        <v>86</v>
      </c>
      <c r="C23" s="12">
        <f>D23+E23+F23</f>
        <v>3900</v>
      </c>
      <c r="D23" s="12">
        <f>3900-120</f>
        <v>3780</v>
      </c>
      <c r="E23" s="12">
        <v>120</v>
      </c>
      <c r="F23" s="12"/>
      <c r="G23" s="12"/>
      <c r="H23" s="12"/>
      <c r="I23" s="12"/>
      <c r="J23" s="14">
        <f t="shared" si="2"/>
        <v>6110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f t="shared" si="3"/>
        <v>6110</v>
      </c>
      <c r="V23" s="14">
        <v>6110</v>
      </c>
      <c r="W23" s="14"/>
      <c r="X23" s="14"/>
      <c r="Y23" s="14">
        <v>520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100</v>
      </c>
      <c r="AO23" s="14">
        <v>0</v>
      </c>
      <c r="AP23" s="14"/>
      <c r="AQ23" s="14"/>
      <c r="AR23" s="14"/>
      <c r="AS23" s="14"/>
      <c r="AT23" s="14"/>
      <c r="AU23" s="14">
        <v>6000</v>
      </c>
      <c r="AV23" s="14"/>
      <c r="AW23" s="14"/>
      <c r="AX23" s="14"/>
      <c r="AY23" s="14"/>
      <c r="AZ23" s="14"/>
      <c r="BA23" s="14"/>
      <c r="BB23" s="14"/>
      <c r="BC23" s="14"/>
      <c r="BD23" s="12"/>
    </row>
    <row r="24" spans="1:56" ht="38.25">
      <c r="A24" s="10">
        <v>106002</v>
      </c>
      <c r="B24" s="11" t="s">
        <v>87</v>
      </c>
      <c r="C24" s="12">
        <f>D24+E24+F24</f>
        <v>5800</v>
      </c>
      <c r="D24" s="12">
        <f>5800-140</f>
        <v>5660</v>
      </c>
      <c r="E24" s="12">
        <v>140</v>
      </c>
      <c r="F24" s="12"/>
      <c r="G24" s="12">
        <f>H24+I24</f>
        <v>300</v>
      </c>
      <c r="H24" s="12">
        <v>300</v>
      </c>
      <c r="I24" s="12"/>
      <c r="J24" s="14">
        <f t="shared" si="2"/>
        <v>18860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si="3"/>
        <v>18860</v>
      </c>
      <c r="V24" s="14">
        <v>18860</v>
      </c>
      <c r="W24" s="14"/>
      <c r="X24" s="14"/>
      <c r="Y24" s="14">
        <v>1350</v>
      </c>
      <c r="Z24" s="14">
        <f>AA24+AB24+AD24+AE24+AC24</f>
        <v>130</v>
      </c>
      <c r="AA24" s="14">
        <v>130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>
        <v>8000</v>
      </c>
      <c r="AV24" s="14">
        <v>1900</v>
      </c>
      <c r="AW24" s="14"/>
      <c r="AX24" s="14"/>
      <c r="AY24" s="14"/>
      <c r="AZ24" s="14"/>
      <c r="BA24" s="14"/>
      <c r="BB24" s="14"/>
      <c r="BC24" s="14"/>
      <c r="BD24" s="12"/>
    </row>
    <row r="25" spans="1:56" ht="25.5">
      <c r="A25" s="10">
        <v>111008</v>
      </c>
      <c r="B25" s="11" t="s">
        <v>88</v>
      </c>
      <c r="C25" s="12">
        <f>D25+E25+F25</f>
        <v>7100</v>
      </c>
      <c r="D25" s="12">
        <v>6400</v>
      </c>
      <c r="E25" s="12"/>
      <c r="F25" s="12">
        <v>700</v>
      </c>
      <c r="G25" s="12">
        <f>H25+I25</f>
        <v>2850</v>
      </c>
      <c r="H25" s="12">
        <v>2100</v>
      </c>
      <c r="I25" s="12">
        <v>750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550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>
        <v>900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2"/>
    </row>
    <row r="26" spans="1:56" ht="25.5">
      <c r="A26" s="10">
        <v>114504</v>
      </c>
      <c r="B26" s="11" t="s">
        <v>89</v>
      </c>
      <c r="C26" s="12"/>
      <c r="D26" s="12"/>
      <c r="E26" s="12"/>
      <c r="F26" s="12"/>
      <c r="G26" s="12">
        <f>H26+I26</f>
        <v>4600</v>
      </c>
      <c r="H26" s="12">
        <v>4600</v>
      </c>
      <c r="I26" s="12"/>
      <c r="J26" s="14">
        <f>K26+U26</f>
        <v>106850</v>
      </c>
      <c r="K26" s="14">
        <f>L26+O26</f>
        <v>42010</v>
      </c>
      <c r="L26" s="14">
        <f>M26+N26</f>
        <v>10403</v>
      </c>
      <c r="M26" s="14">
        <v>10403</v>
      </c>
      <c r="N26" s="14"/>
      <c r="O26" s="14">
        <f>P26+R26+S26+T26</f>
        <v>31607</v>
      </c>
      <c r="P26" s="14">
        <v>26406</v>
      </c>
      <c r="Q26" s="14"/>
      <c r="R26" s="14">
        <v>5201</v>
      </c>
      <c r="S26" s="14"/>
      <c r="T26" s="14"/>
      <c r="U26" s="14">
        <f>V26+W26+X26</f>
        <v>64840</v>
      </c>
      <c r="V26" s="23">
        <f>58333-2670+6077</f>
        <v>61740</v>
      </c>
      <c r="W26" s="14">
        <v>700</v>
      </c>
      <c r="X26" s="14">
        <v>2400</v>
      </c>
      <c r="Y26" s="14">
        <v>45810</v>
      </c>
      <c r="Z26" s="14">
        <f>AA26+AB26+AD26+AE26+AC26</f>
        <v>96320</v>
      </c>
      <c r="AA26" s="23">
        <f>88560+3760-6077</f>
        <v>86243</v>
      </c>
      <c r="AB26" s="14">
        <v>4000</v>
      </c>
      <c r="AC26" s="14">
        <v>6077</v>
      </c>
      <c r="AD26" s="14"/>
      <c r="AE26" s="14"/>
      <c r="AF26" s="14"/>
      <c r="AG26" s="14">
        <f>AH26+AI26+AJ26+AK26</f>
        <v>20582</v>
      </c>
      <c r="AH26" s="14">
        <v>3543</v>
      </c>
      <c r="AI26" s="14">
        <v>4702</v>
      </c>
      <c r="AJ26" s="14">
        <v>9846</v>
      </c>
      <c r="AK26" s="14">
        <v>2491</v>
      </c>
      <c r="AL26" s="14">
        <v>5000</v>
      </c>
      <c r="AM26" s="14">
        <v>2000</v>
      </c>
      <c r="AN26" s="14">
        <v>8500</v>
      </c>
      <c r="AO26" s="14">
        <v>3000</v>
      </c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2"/>
    </row>
    <row r="27" spans="1:56" ht="25.5">
      <c r="A27" s="10">
        <v>115309</v>
      </c>
      <c r="B27" s="11" t="s">
        <v>90</v>
      </c>
      <c r="C27" s="12"/>
      <c r="D27" s="12"/>
      <c r="E27" s="12"/>
      <c r="F27" s="12"/>
      <c r="G27" s="12"/>
      <c r="H27" s="12"/>
      <c r="I27" s="12"/>
      <c r="J27" s="14">
        <f>K27+U27</f>
        <v>58170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f>V27+W27+X27</f>
        <v>58170</v>
      </c>
      <c r="V27" s="14">
        <v>58170</v>
      </c>
      <c r="W27" s="14"/>
      <c r="X27" s="14"/>
      <c r="Y27" s="14">
        <v>12930</v>
      </c>
      <c r="Z27" s="14">
        <f>AA27+AB27+AD27+AE27+AC27</f>
        <v>20140</v>
      </c>
      <c r="AA27" s="14">
        <v>20140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2"/>
    </row>
    <row r="28" spans="1:56" ht="25.5">
      <c r="A28" s="10">
        <v>115506</v>
      </c>
      <c r="B28" s="11" t="s">
        <v>91</v>
      </c>
      <c r="C28" s="12"/>
      <c r="D28" s="12"/>
      <c r="E28" s="12"/>
      <c r="F28" s="12"/>
      <c r="G28" s="12">
        <f>H28+I28</f>
        <v>500</v>
      </c>
      <c r="H28" s="12">
        <v>500</v>
      </c>
      <c r="I28" s="12"/>
      <c r="J28" s="14">
        <f>K28+U28</f>
        <v>72747</v>
      </c>
      <c r="K28" s="14">
        <f>L28+O28</f>
        <v>17107</v>
      </c>
      <c r="L28" s="14">
        <f>M28+N28</f>
        <v>16850</v>
      </c>
      <c r="M28" s="14"/>
      <c r="N28" s="14">
        <v>16850</v>
      </c>
      <c r="O28" s="14">
        <f>P28+R28+S28+T28</f>
        <v>257</v>
      </c>
      <c r="P28" s="14"/>
      <c r="Q28" s="14"/>
      <c r="R28" s="14"/>
      <c r="S28" s="14">
        <v>100</v>
      </c>
      <c r="T28" s="14">
        <v>157</v>
      </c>
      <c r="U28" s="14">
        <f>V28+W28+X28</f>
        <v>55640</v>
      </c>
      <c r="V28" s="14">
        <f>57620-1980</f>
        <v>55640</v>
      </c>
      <c r="W28" s="14"/>
      <c r="X28" s="14"/>
      <c r="Y28" s="14">
        <v>7530</v>
      </c>
      <c r="Z28" s="14">
        <f>AA28+AB28+AD28+AE28+AC28</f>
        <v>48070</v>
      </c>
      <c r="AA28" s="14">
        <f>45540+2530</f>
        <v>48070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1600</v>
      </c>
      <c r="AO28" s="14">
        <v>0</v>
      </c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2"/>
    </row>
    <row r="29" spans="1:56" ht="25.5">
      <c r="A29" s="10">
        <v>121125</v>
      </c>
      <c r="B29" s="11" t="s">
        <v>92</v>
      </c>
      <c r="C29" s="12">
        <f>D29+E29+F29</f>
        <v>25900</v>
      </c>
      <c r="D29" s="12">
        <f>25900-1188</f>
        <v>24712</v>
      </c>
      <c r="E29" s="12">
        <v>1188</v>
      </c>
      <c r="F29" s="12"/>
      <c r="G29" s="12">
        <f>H29+I29</f>
        <v>1200</v>
      </c>
      <c r="H29" s="12">
        <v>1200</v>
      </c>
      <c r="I29" s="1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v>20000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>
        <v>13000</v>
      </c>
      <c r="AM29" s="14">
        <v>3000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2"/>
    </row>
    <row r="30" spans="1:56" ht="25.5">
      <c r="A30" s="10">
        <v>124528</v>
      </c>
      <c r="B30" s="11" t="s">
        <v>93</v>
      </c>
      <c r="C30" s="12"/>
      <c r="D30" s="12"/>
      <c r="E30" s="12"/>
      <c r="F30" s="12"/>
      <c r="G30" s="12">
        <f>H30+I30</f>
        <v>1500</v>
      </c>
      <c r="H30" s="12">
        <v>1200</v>
      </c>
      <c r="I30" s="12">
        <v>300</v>
      </c>
      <c r="J30" s="14">
        <f>K30+U30</f>
        <v>242100</v>
      </c>
      <c r="K30" s="14">
        <f>L30+O30</f>
        <v>87780</v>
      </c>
      <c r="L30" s="14">
        <f>M30+N30</f>
        <v>37589</v>
      </c>
      <c r="M30" s="14">
        <v>18937</v>
      </c>
      <c r="N30" s="14">
        <v>18652</v>
      </c>
      <c r="O30" s="14">
        <f>P30+R30+S30+T30</f>
        <v>50191</v>
      </c>
      <c r="P30" s="14">
        <v>42000</v>
      </c>
      <c r="Q30" s="14"/>
      <c r="R30" s="14">
        <v>8095</v>
      </c>
      <c r="S30" s="14">
        <v>96</v>
      </c>
      <c r="T30" s="14"/>
      <c r="U30" s="14">
        <f>V30+W30+X30</f>
        <v>154320</v>
      </c>
      <c r="V30" s="23">
        <f>150384-5730+9666</f>
        <v>154320</v>
      </c>
      <c r="W30" s="23">
        <f>350-350</f>
        <v>0</v>
      </c>
      <c r="X30" s="14"/>
      <c r="Y30" s="14">
        <v>40860</v>
      </c>
      <c r="Z30" s="14">
        <f>AA30+AB30+AD30+AE30+AC30</f>
        <v>175360</v>
      </c>
      <c r="AA30" s="23">
        <f>162400+8960-9666</f>
        <v>161694</v>
      </c>
      <c r="AB30" s="14">
        <v>4000</v>
      </c>
      <c r="AC30" s="14">
        <v>9666</v>
      </c>
      <c r="AD30" s="14"/>
      <c r="AE30" s="14"/>
      <c r="AF30" s="14">
        <v>200</v>
      </c>
      <c r="AG30" s="14">
        <f>AH30+AI30+AJ30+AK30</f>
        <v>33723</v>
      </c>
      <c r="AH30" s="14">
        <v>5804</v>
      </c>
      <c r="AI30" s="14">
        <v>7705</v>
      </c>
      <c r="AJ30" s="14">
        <v>16133</v>
      </c>
      <c r="AK30" s="14">
        <v>4081</v>
      </c>
      <c r="AL30" s="14">
        <v>6500</v>
      </c>
      <c r="AM30" s="14">
        <v>1200</v>
      </c>
      <c r="AN30" s="14">
        <v>10000</v>
      </c>
      <c r="AO30" s="14">
        <v>6000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2"/>
    </row>
    <row r="31" spans="1:56" ht="25.5">
      <c r="A31" s="10">
        <v>124530</v>
      </c>
      <c r="B31" s="11" t="s">
        <v>94</v>
      </c>
      <c r="C31" s="12"/>
      <c r="D31" s="12"/>
      <c r="E31" s="12"/>
      <c r="F31" s="12"/>
      <c r="G31" s="12">
        <f>H31+I31</f>
        <v>600</v>
      </c>
      <c r="H31" s="12">
        <v>600</v>
      </c>
      <c r="I31" s="12"/>
      <c r="J31" s="14">
        <f>K31+U31</f>
        <v>85722</v>
      </c>
      <c r="K31" s="14">
        <f>L31+O31</f>
        <v>32122</v>
      </c>
      <c r="L31" s="14">
        <f>M31+N31</f>
        <v>13154</v>
      </c>
      <c r="M31" s="14">
        <v>7429</v>
      </c>
      <c r="N31" s="14">
        <v>5725</v>
      </c>
      <c r="O31" s="14">
        <f>P31+R31+S31+T31</f>
        <v>18968</v>
      </c>
      <c r="P31" s="14">
        <v>16019</v>
      </c>
      <c r="Q31" s="14"/>
      <c r="R31" s="14">
        <v>2595</v>
      </c>
      <c r="S31" s="14">
        <v>34</v>
      </c>
      <c r="T31" s="14">
        <v>320</v>
      </c>
      <c r="U31" s="14">
        <f>V31+W31+X31</f>
        <v>53600</v>
      </c>
      <c r="V31" s="23">
        <f>51813-2450+3687</f>
        <v>53050</v>
      </c>
      <c r="W31" s="14">
        <v>550</v>
      </c>
      <c r="X31" s="14"/>
      <c r="Y31" s="14">
        <v>29000</v>
      </c>
      <c r="Z31" s="14">
        <f>AA31+AB31+AD31+AE31+AC31</f>
        <v>64780</v>
      </c>
      <c r="AA31" s="23">
        <f>61570+3210-3687</f>
        <v>61093</v>
      </c>
      <c r="AB31" s="14"/>
      <c r="AC31" s="14">
        <v>3687</v>
      </c>
      <c r="AD31" s="14"/>
      <c r="AE31" s="14"/>
      <c r="AF31" s="14"/>
      <c r="AG31" s="14">
        <f>AH31+AI31+AJ31+AK31</f>
        <v>12946</v>
      </c>
      <c r="AH31" s="14">
        <v>2228</v>
      </c>
      <c r="AI31" s="14">
        <v>2958</v>
      </c>
      <c r="AJ31" s="14">
        <v>6193</v>
      </c>
      <c r="AK31" s="14">
        <v>1567</v>
      </c>
      <c r="AL31" s="14"/>
      <c r="AM31" s="14"/>
      <c r="AN31" s="14">
        <v>5000</v>
      </c>
      <c r="AO31" s="14">
        <v>1000</v>
      </c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2"/>
    </row>
    <row r="32" spans="1:56" ht="25.5">
      <c r="A32" s="10">
        <v>125308</v>
      </c>
      <c r="B32" s="11" t="s">
        <v>95</v>
      </c>
      <c r="C32" s="12"/>
      <c r="D32" s="12"/>
      <c r="E32" s="12"/>
      <c r="F32" s="12"/>
      <c r="G32" s="12"/>
      <c r="H32" s="12"/>
      <c r="I32" s="12"/>
      <c r="J32" s="14">
        <f>K32+U32</f>
        <v>52080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f>V32+W32+X32</f>
        <v>52080</v>
      </c>
      <c r="V32" s="14">
        <v>52080</v>
      </c>
      <c r="W32" s="14"/>
      <c r="X32" s="14"/>
      <c r="Y32" s="14">
        <v>12800</v>
      </c>
      <c r="Z32" s="14">
        <f>AA32+AB32+AD32+AE32+AC32</f>
        <v>21920</v>
      </c>
      <c r="AA32" s="14">
        <v>21920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2"/>
    </row>
    <row r="33" spans="1:56" ht="25.5">
      <c r="A33" s="10">
        <v>125901</v>
      </c>
      <c r="B33" s="11" t="s">
        <v>96</v>
      </c>
      <c r="C33" s="12"/>
      <c r="D33" s="12"/>
      <c r="E33" s="12"/>
      <c r="F33" s="12"/>
      <c r="G33" s="12"/>
      <c r="H33" s="12"/>
      <c r="I33" s="12"/>
      <c r="J33" s="14">
        <f>K33+U33</f>
        <v>6140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>V33+W33+X33</f>
        <v>6140</v>
      </c>
      <c r="V33" s="14">
        <v>6140</v>
      </c>
      <c r="W33" s="14"/>
      <c r="X33" s="14"/>
      <c r="Y33" s="14">
        <v>180</v>
      </c>
      <c r="Z33" s="14">
        <f>AA33+AB33+AD33+AE33+AC33</f>
        <v>8180</v>
      </c>
      <c r="AA33" s="14">
        <v>8180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2"/>
    </row>
    <row r="34" spans="1:56" ht="38.25">
      <c r="A34" s="10">
        <v>125902</v>
      </c>
      <c r="B34" s="11" t="s">
        <v>97</v>
      </c>
      <c r="C34" s="12"/>
      <c r="D34" s="12"/>
      <c r="E34" s="12"/>
      <c r="F34" s="12"/>
      <c r="G34" s="12"/>
      <c r="H34" s="12"/>
      <c r="I34" s="1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>16500-1000</f>
        <v>15500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2"/>
    </row>
    <row r="35" spans="1:56" ht="25.5">
      <c r="A35" s="10">
        <v>126501</v>
      </c>
      <c r="B35" s="11" t="s">
        <v>98</v>
      </c>
      <c r="C35" s="12"/>
      <c r="D35" s="12"/>
      <c r="E35" s="12"/>
      <c r="F35" s="12"/>
      <c r="G35" s="12"/>
      <c r="H35" s="12"/>
      <c r="I35" s="1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2">
        <v>404490</v>
      </c>
    </row>
    <row r="36" spans="1:56" ht="25.5">
      <c r="A36" s="10">
        <v>131001</v>
      </c>
      <c r="B36" s="11" t="s">
        <v>99</v>
      </c>
      <c r="C36" s="12">
        <f>D36+E36+F36</f>
        <v>9500</v>
      </c>
      <c r="D36" s="12">
        <f>9500-45</f>
        <v>9455</v>
      </c>
      <c r="E36" s="12">
        <v>45</v>
      </c>
      <c r="F36" s="12"/>
      <c r="G36" s="12">
        <f>H36+I36</f>
        <v>1700</v>
      </c>
      <c r="H36" s="12">
        <v>1700</v>
      </c>
      <c r="I36" s="12"/>
      <c r="J36" s="14">
        <f>K36+U36</f>
        <v>16000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f>V36+W36+X36</f>
        <v>16000</v>
      </c>
      <c r="V36" s="14">
        <v>16000</v>
      </c>
      <c r="W36" s="14"/>
      <c r="X36" s="14"/>
      <c r="Y36" s="14">
        <v>15000</v>
      </c>
      <c r="Z36" s="14">
        <f>AA36+AB36+AD36+AE36+AC36</f>
        <v>4500</v>
      </c>
      <c r="AA36" s="14">
        <v>4500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2"/>
    </row>
    <row r="37" spans="1:56" ht="25.5">
      <c r="A37" s="10">
        <v>131020</v>
      </c>
      <c r="B37" s="11" t="s">
        <v>100</v>
      </c>
      <c r="C37" s="12">
        <f>D37+E37+F37</f>
        <v>1300</v>
      </c>
      <c r="D37" s="12">
        <v>1300</v>
      </c>
      <c r="E37" s="12"/>
      <c r="F37" s="12"/>
      <c r="G37" s="12">
        <f>H37+I37</f>
        <v>2000</v>
      </c>
      <c r="H37" s="12">
        <v>2000</v>
      </c>
      <c r="I37" s="12"/>
      <c r="J37" s="14">
        <f>K37+U37</f>
        <v>74229</v>
      </c>
      <c r="K37" s="14">
        <f>L37+O37</f>
        <v>16709</v>
      </c>
      <c r="L37" s="14">
        <f>M37+N37</f>
        <v>16360</v>
      </c>
      <c r="M37" s="14"/>
      <c r="N37" s="14">
        <v>16360</v>
      </c>
      <c r="O37" s="14">
        <f>P37+R37+S37+T37</f>
        <v>349</v>
      </c>
      <c r="P37" s="14"/>
      <c r="Q37" s="14"/>
      <c r="R37" s="14"/>
      <c r="S37" s="14">
        <v>124</v>
      </c>
      <c r="T37" s="14">
        <v>225</v>
      </c>
      <c r="U37" s="14">
        <f>V37+W37+X37</f>
        <v>57520</v>
      </c>
      <c r="V37" s="14">
        <f>54610-1890</f>
        <v>52720</v>
      </c>
      <c r="W37" s="14"/>
      <c r="X37" s="14">
        <v>4800</v>
      </c>
      <c r="Y37" s="14">
        <v>12220</v>
      </c>
      <c r="Z37" s="14">
        <f>AA37+AB37+AD37+AE37+AC37</f>
        <v>52480</v>
      </c>
      <c r="AA37" s="14">
        <f>50080+2400</f>
        <v>52480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3500</v>
      </c>
      <c r="AO37" s="14">
        <v>150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2"/>
    </row>
    <row r="38" spans="1:56" ht="51">
      <c r="A38" s="10">
        <v>131940</v>
      </c>
      <c r="B38" s="11" t="s">
        <v>101</v>
      </c>
      <c r="C38" s="12">
        <f>D38+E38+F38</f>
        <v>1400</v>
      </c>
      <c r="D38" s="12"/>
      <c r="E38" s="12"/>
      <c r="F38" s="12">
        <v>1400</v>
      </c>
      <c r="G38" s="12"/>
      <c r="H38" s="12"/>
      <c r="I38" s="12"/>
      <c r="J38" s="14">
        <f>K38+U38</f>
        <v>36400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f>V38+W38+X38</f>
        <v>36400</v>
      </c>
      <c r="V38" s="14">
        <v>36400</v>
      </c>
      <c r="W38" s="14"/>
      <c r="X38" s="14"/>
      <c r="Y38" s="14">
        <v>3260</v>
      </c>
      <c r="Z38" s="14">
        <f>AA38+AB38+AD38+AE38+AC38</f>
        <v>11810</v>
      </c>
      <c r="AA38" s="14">
        <v>11810</v>
      </c>
      <c r="AB38" s="14"/>
      <c r="AC38" s="14"/>
      <c r="AD38" s="14"/>
      <c r="AE38" s="14"/>
      <c r="AF38" s="14">
        <v>100</v>
      </c>
      <c r="AG38" s="14"/>
      <c r="AH38" s="14"/>
      <c r="AI38" s="14"/>
      <c r="AJ38" s="14"/>
      <c r="AK38" s="14"/>
      <c r="AL38" s="14"/>
      <c r="AM38" s="14"/>
      <c r="AN38" s="14">
        <v>50</v>
      </c>
      <c r="AO38" s="14">
        <v>300</v>
      </c>
      <c r="AP38" s="14"/>
      <c r="AQ38" s="14">
        <v>500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2"/>
    </row>
    <row r="39" spans="1:56" ht="38.25">
      <c r="A39" s="10">
        <v>131941</v>
      </c>
      <c r="B39" s="11" t="s">
        <v>68</v>
      </c>
      <c r="C39" s="12">
        <f>D39+E39+F39</f>
        <v>300</v>
      </c>
      <c r="D39" s="12"/>
      <c r="E39" s="12"/>
      <c r="F39" s="12">
        <v>300</v>
      </c>
      <c r="G39" s="12"/>
      <c r="H39" s="12"/>
      <c r="I39" s="1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2"/>
    </row>
    <row r="40" spans="1:56" ht="25.5">
      <c r="A40" s="10">
        <v>134505</v>
      </c>
      <c r="B40" s="11" t="s">
        <v>102</v>
      </c>
      <c r="C40" s="12"/>
      <c r="D40" s="12"/>
      <c r="E40" s="12"/>
      <c r="F40" s="12"/>
      <c r="G40" s="12">
        <f>H40+I40</f>
        <v>600</v>
      </c>
      <c r="H40" s="12">
        <v>600</v>
      </c>
      <c r="I40" s="12"/>
      <c r="J40" s="14">
        <f t="shared" ref="J40:J48" si="4">K40+U40</f>
        <v>105833</v>
      </c>
      <c r="K40" s="14">
        <f>L40+O40</f>
        <v>45213</v>
      </c>
      <c r="L40" s="14">
        <f>M40+N40</f>
        <v>12500</v>
      </c>
      <c r="M40" s="14">
        <v>12500</v>
      </c>
      <c r="N40" s="14"/>
      <c r="O40" s="14">
        <f>P40+R40+S40+T40</f>
        <v>32713</v>
      </c>
      <c r="P40" s="14">
        <v>28209</v>
      </c>
      <c r="Q40" s="14"/>
      <c r="R40" s="14">
        <v>4504</v>
      </c>
      <c r="S40" s="14"/>
      <c r="T40" s="14"/>
      <c r="U40" s="14">
        <f t="shared" ref="U40:U48" si="5">V40+W40+X40</f>
        <v>60620</v>
      </c>
      <c r="V40" s="23">
        <f>56298-2420+6492</f>
        <v>60370</v>
      </c>
      <c r="W40" s="14">
        <v>250</v>
      </c>
      <c r="X40" s="14"/>
      <c r="Y40" s="14">
        <v>21850</v>
      </c>
      <c r="Z40" s="14">
        <f t="shared" ref="Z40:Z48" si="6">AA40+AB40+AD40+AE40+AC40</f>
        <v>78300</v>
      </c>
      <c r="AA40" s="23">
        <f>74180+4120-6492</f>
        <v>71808</v>
      </c>
      <c r="AB40" s="14"/>
      <c r="AC40" s="14">
        <v>6492</v>
      </c>
      <c r="AD40" s="14"/>
      <c r="AE40" s="14"/>
      <c r="AF40" s="14"/>
      <c r="AG40" s="14">
        <f>AH40+AI40+AJ40+AK40</f>
        <v>22559</v>
      </c>
      <c r="AH40" s="14">
        <v>3883</v>
      </c>
      <c r="AI40" s="14">
        <v>5154</v>
      </c>
      <c r="AJ40" s="14">
        <v>10792</v>
      </c>
      <c r="AK40" s="14">
        <v>2730</v>
      </c>
      <c r="AL40" s="14"/>
      <c r="AM40" s="14"/>
      <c r="AN40" s="14">
        <v>3600</v>
      </c>
      <c r="AO40" s="14">
        <v>1000</v>
      </c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2"/>
    </row>
    <row r="41" spans="1:56" ht="25.5">
      <c r="A41" s="10">
        <v>135311</v>
      </c>
      <c r="B41" s="11" t="s">
        <v>103</v>
      </c>
      <c r="C41" s="12"/>
      <c r="D41" s="12"/>
      <c r="E41" s="12"/>
      <c r="F41" s="12"/>
      <c r="G41" s="12"/>
      <c r="H41" s="12"/>
      <c r="I41" s="12"/>
      <c r="J41" s="14">
        <f t="shared" si="4"/>
        <v>26430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f t="shared" si="5"/>
        <v>26430</v>
      </c>
      <c r="V41" s="14">
        <v>26430</v>
      </c>
      <c r="W41" s="14"/>
      <c r="X41" s="14"/>
      <c r="Y41" s="14">
        <v>5750</v>
      </c>
      <c r="Z41" s="14">
        <f t="shared" si="6"/>
        <v>12470</v>
      </c>
      <c r="AA41" s="14">
        <v>12470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2"/>
    </row>
    <row r="42" spans="1:56" ht="25.5">
      <c r="A42" s="10">
        <v>141016</v>
      </c>
      <c r="B42" s="11" t="s">
        <v>104</v>
      </c>
      <c r="C42" s="12">
        <f>D42+E42+F42</f>
        <v>6300</v>
      </c>
      <c r="D42" s="12">
        <v>6300</v>
      </c>
      <c r="E42" s="12"/>
      <c r="F42" s="12"/>
      <c r="G42" s="12">
        <f>H42+I42</f>
        <v>1800</v>
      </c>
      <c r="H42" s="12">
        <v>1800</v>
      </c>
      <c r="I42" s="12"/>
      <c r="J42" s="14">
        <f t="shared" si="4"/>
        <v>88933</v>
      </c>
      <c r="K42" s="14">
        <f>L42+O42</f>
        <v>38063</v>
      </c>
      <c r="L42" s="14">
        <f>M42+N42</f>
        <v>9695</v>
      </c>
      <c r="M42" s="14">
        <v>9695</v>
      </c>
      <c r="N42" s="14"/>
      <c r="O42" s="14">
        <f>P42+R42+S42+T42</f>
        <v>28368</v>
      </c>
      <c r="P42" s="14">
        <v>24203</v>
      </c>
      <c r="Q42" s="14"/>
      <c r="R42" s="14">
        <v>4165</v>
      </c>
      <c r="S42" s="14"/>
      <c r="T42" s="14"/>
      <c r="U42" s="14">
        <f t="shared" si="5"/>
        <v>50870</v>
      </c>
      <c r="V42" s="23">
        <f>47120-2370+5570</f>
        <v>50320</v>
      </c>
      <c r="W42" s="14">
        <v>550</v>
      </c>
      <c r="X42" s="14"/>
      <c r="Y42" s="14">
        <v>18340</v>
      </c>
      <c r="Z42" s="14">
        <f t="shared" si="6"/>
        <v>65710</v>
      </c>
      <c r="AA42" s="23">
        <f>62250+3460-5570</f>
        <v>60140</v>
      </c>
      <c r="AB42" s="14"/>
      <c r="AC42" s="14">
        <v>5570</v>
      </c>
      <c r="AD42" s="14"/>
      <c r="AE42" s="14"/>
      <c r="AF42" s="14"/>
      <c r="AG42" s="14">
        <f>AH42+AI42+AJ42+AK42</f>
        <v>18930</v>
      </c>
      <c r="AH42" s="14">
        <v>3258</v>
      </c>
      <c r="AI42" s="14">
        <v>4325</v>
      </c>
      <c r="AJ42" s="14">
        <v>9056</v>
      </c>
      <c r="AK42" s="14">
        <v>2291</v>
      </c>
      <c r="AL42" s="14"/>
      <c r="AM42" s="14"/>
      <c r="AN42" s="14">
        <v>6000</v>
      </c>
      <c r="AO42" s="14">
        <v>1000</v>
      </c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2"/>
    </row>
    <row r="43" spans="1:56" ht="25.5">
      <c r="A43" s="10">
        <v>141022</v>
      </c>
      <c r="B43" s="11" t="s">
        <v>105</v>
      </c>
      <c r="C43" s="12">
        <f>D43+E43+F43</f>
        <v>1800</v>
      </c>
      <c r="D43" s="12">
        <v>1800</v>
      </c>
      <c r="E43" s="12"/>
      <c r="F43" s="12"/>
      <c r="G43" s="12">
        <f>H43+I43</f>
        <v>1600</v>
      </c>
      <c r="H43" s="12">
        <v>1600</v>
      </c>
      <c r="I43" s="12"/>
      <c r="J43" s="14">
        <f t="shared" si="4"/>
        <v>53664</v>
      </c>
      <c r="K43" s="14">
        <f>L43+O43</f>
        <v>22744</v>
      </c>
      <c r="L43" s="14">
        <f>M43+N43</f>
        <v>6004</v>
      </c>
      <c r="M43" s="14">
        <v>6004</v>
      </c>
      <c r="N43" s="14"/>
      <c r="O43" s="14">
        <f>P43+R43+S43+T43</f>
        <v>16740</v>
      </c>
      <c r="P43" s="14">
        <v>14634</v>
      </c>
      <c r="Q43" s="14"/>
      <c r="R43" s="14">
        <v>2106</v>
      </c>
      <c r="S43" s="14"/>
      <c r="T43" s="14"/>
      <c r="U43" s="14">
        <f t="shared" si="5"/>
        <v>30920</v>
      </c>
      <c r="V43" s="23">
        <f>28652-1100+3368</f>
        <v>30920</v>
      </c>
      <c r="W43" s="14"/>
      <c r="X43" s="14"/>
      <c r="Y43" s="14">
        <v>11140</v>
      </c>
      <c r="Z43" s="14">
        <f t="shared" si="6"/>
        <v>39930</v>
      </c>
      <c r="AA43" s="23">
        <f>37830+2100-3368</f>
        <v>36562</v>
      </c>
      <c r="AB43" s="14"/>
      <c r="AC43" s="14">
        <v>3368</v>
      </c>
      <c r="AD43" s="14"/>
      <c r="AE43" s="14"/>
      <c r="AF43" s="14"/>
      <c r="AG43" s="14">
        <f>AH43+AI43+AJ43+AK43</f>
        <v>11505</v>
      </c>
      <c r="AH43" s="14">
        <v>1980</v>
      </c>
      <c r="AI43" s="14">
        <v>2629</v>
      </c>
      <c r="AJ43" s="14">
        <v>5504</v>
      </c>
      <c r="AK43" s="14">
        <v>1392</v>
      </c>
      <c r="AL43" s="14"/>
      <c r="AM43" s="14"/>
      <c r="AN43" s="14">
        <v>2500</v>
      </c>
      <c r="AO43" s="14">
        <v>1000</v>
      </c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2"/>
    </row>
    <row r="44" spans="1:56" ht="38.25">
      <c r="A44" s="10">
        <v>141023</v>
      </c>
      <c r="B44" s="11" t="s">
        <v>106</v>
      </c>
      <c r="C44" s="12">
        <f>D44+E44+F44</f>
        <v>16000</v>
      </c>
      <c r="D44" s="12">
        <f>16000-93</f>
        <v>15907</v>
      </c>
      <c r="E44" s="12">
        <v>93</v>
      </c>
      <c r="F44" s="12"/>
      <c r="G44" s="12">
        <f>H44+I44</f>
        <v>2060</v>
      </c>
      <c r="H44" s="12">
        <v>2060</v>
      </c>
      <c r="I44" s="12"/>
      <c r="J44" s="14">
        <f t="shared" si="4"/>
        <v>69865</v>
      </c>
      <c r="K44" s="14">
        <f>L44+O44</f>
        <v>24345</v>
      </c>
      <c r="L44" s="14">
        <f>M44+N44</f>
        <v>5395</v>
      </c>
      <c r="M44" s="14">
        <v>5395</v>
      </c>
      <c r="N44" s="14"/>
      <c r="O44" s="14">
        <f>P44+R44+S44+T44</f>
        <v>18950</v>
      </c>
      <c r="P44" s="14">
        <v>15809</v>
      </c>
      <c r="Q44" s="14"/>
      <c r="R44" s="14">
        <v>3141</v>
      </c>
      <c r="S44" s="14"/>
      <c r="T44" s="14"/>
      <c r="U44" s="14">
        <f t="shared" si="5"/>
        <v>45520</v>
      </c>
      <c r="V44" s="23">
        <f>43032-1550+3638</f>
        <v>45120</v>
      </c>
      <c r="W44" s="14">
        <v>400</v>
      </c>
      <c r="X44" s="14"/>
      <c r="Y44" s="14">
        <v>44210</v>
      </c>
      <c r="Z44" s="14">
        <f t="shared" si="6"/>
        <v>58970</v>
      </c>
      <c r="AA44" s="23">
        <f>52310+2180-3638</f>
        <v>50852</v>
      </c>
      <c r="AB44" s="14">
        <v>4000</v>
      </c>
      <c r="AC44" s="14">
        <v>3638</v>
      </c>
      <c r="AD44" s="14">
        <v>480</v>
      </c>
      <c r="AE44" s="14"/>
      <c r="AF44" s="14"/>
      <c r="AG44" s="14">
        <f>AH44+AI44+AJ44+AK44</f>
        <v>11979</v>
      </c>
      <c r="AH44" s="14">
        <v>2062</v>
      </c>
      <c r="AI44" s="14">
        <v>2737</v>
      </c>
      <c r="AJ44" s="14">
        <v>5730</v>
      </c>
      <c r="AK44" s="14">
        <v>1450</v>
      </c>
      <c r="AL44" s="14">
        <v>8000</v>
      </c>
      <c r="AM44" s="14">
        <v>1260</v>
      </c>
      <c r="AN44" s="14">
        <v>5500</v>
      </c>
      <c r="AO44" s="14">
        <v>3000</v>
      </c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2"/>
    </row>
    <row r="45" spans="1:56" ht="25.5">
      <c r="A45" s="10">
        <v>145312</v>
      </c>
      <c r="B45" s="11" t="s">
        <v>107</v>
      </c>
      <c r="C45" s="12"/>
      <c r="D45" s="12"/>
      <c r="E45" s="12"/>
      <c r="F45" s="12"/>
      <c r="G45" s="12"/>
      <c r="H45" s="12"/>
      <c r="I45" s="12"/>
      <c r="J45" s="14">
        <f t="shared" si="4"/>
        <v>61090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f t="shared" si="5"/>
        <v>61090</v>
      </c>
      <c r="V45" s="14">
        <v>61090</v>
      </c>
      <c r="W45" s="14"/>
      <c r="X45" s="14"/>
      <c r="Y45" s="14">
        <v>16350</v>
      </c>
      <c r="Z45" s="14">
        <f t="shared" si="6"/>
        <v>20640</v>
      </c>
      <c r="AA45" s="14">
        <v>20640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2"/>
    </row>
    <row r="46" spans="1:56" ht="25.5">
      <c r="A46" s="10">
        <v>145516</v>
      </c>
      <c r="B46" s="11" t="s">
        <v>108</v>
      </c>
      <c r="C46" s="12"/>
      <c r="D46" s="12"/>
      <c r="E46" s="12"/>
      <c r="F46" s="12"/>
      <c r="G46" s="12">
        <f>H46+I46</f>
        <v>600</v>
      </c>
      <c r="H46" s="12">
        <v>600</v>
      </c>
      <c r="I46" s="12"/>
      <c r="J46" s="14">
        <f t="shared" si="4"/>
        <v>108836</v>
      </c>
      <c r="K46" s="14">
        <f>L46+O46</f>
        <v>25956</v>
      </c>
      <c r="L46" s="14">
        <f>M46+N46</f>
        <v>25544</v>
      </c>
      <c r="M46" s="14"/>
      <c r="N46" s="14">
        <v>25544</v>
      </c>
      <c r="O46" s="14">
        <f>P46+R46+S46+T46</f>
        <v>412</v>
      </c>
      <c r="P46" s="14"/>
      <c r="Q46" s="14"/>
      <c r="R46" s="14"/>
      <c r="S46" s="14">
        <v>251</v>
      </c>
      <c r="T46" s="14">
        <v>161</v>
      </c>
      <c r="U46" s="14">
        <f t="shared" si="5"/>
        <v>82880</v>
      </c>
      <c r="V46" s="14">
        <f>85760-2960</f>
        <v>82800</v>
      </c>
      <c r="W46" s="23">
        <f>0+80</f>
        <v>80</v>
      </c>
      <c r="X46" s="14"/>
      <c r="Y46" s="14">
        <v>11210</v>
      </c>
      <c r="Z46" s="14">
        <f t="shared" si="6"/>
        <v>71540</v>
      </c>
      <c r="AA46" s="14">
        <f>67780+3760</f>
        <v>71540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2600</v>
      </c>
      <c r="AO46" s="14">
        <v>0</v>
      </c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2"/>
    </row>
    <row r="47" spans="1:56" ht="25.5">
      <c r="A47" s="10">
        <v>146004</v>
      </c>
      <c r="B47" s="11" t="s">
        <v>109</v>
      </c>
      <c r="C47" s="12">
        <f>D47+E47+F47</f>
        <v>2200</v>
      </c>
      <c r="D47" s="12">
        <v>2200</v>
      </c>
      <c r="E47" s="12"/>
      <c r="F47" s="12"/>
      <c r="G47" s="12">
        <f>H47+I47</f>
        <v>1400</v>
      </c>
      <c r="H47" s="12">
        <v>1400</v>
      </c>
      <c r="I47" s="12"/>
      <c r="J47" s="14">
        <f t="shared" si="4"/>
        <v>34180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f t="shared" si="5"/>
        <v>34180</v>
      </c>
      <c r="V47" s="14">
        <v>34180</v>
      </c>
      <c r="W47" s="14"/>
      <c r="X47" s="14"/>
      <c r="Y47" s="14">
        <v>1870</v>
      </c>
      <c r="Z47" s="14">
        <f t="shared" si="6"/>
        <v>30980</v>
      </c>
      <c r="AA47" s="14">
        <v>30980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2"/>
    </row>
    <row r="48" spans="1:56" ht="25.5">
      <c r="A48" s="10">
        <v>151005</v>
      </c>
      <c r="B48" s="11" t="s">
        <v>110</v>
      </c>
      <c r="C48" s="12">
        <f>D48+E48+F48</f>
        <v>13100</v>
      </c>
      <c r="D48" s="12">
        <f>13100-163</f>
        <v>12937</v>
      </c>
      <c r="E48" s="12">
        <v>163</v>
      </c>
      <c r="F48" s="12"/>
      <c r="G48" s="12">
        <f>H48+I48</f>
        <v>4200</v>
      </c>
      <c r="H48" s="12">
        <v>4200</v>
      </c>
      <c r="I48" s="12"/>
      <c r="J48" s="14">
        <f t="shared" si="4"/>
        <v>97480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f t="shared" si="5"/>
        <v>97480</v>
      </c>
      <c r="V48" s="14">
        <v>97480</v>
      </c>
      <c r="W48" s="14"/>
      <c r="X48" s="14"/>
      <c r="Y48" s="14">
        <v>7300</v>
      </c>
      <c r="Z48" s="14">
        <f t="shared" si="6"/>
        <v>25980</v>
      </c>
      <c r="AA48" s="14">
        <v>25980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>
        <v>100</v>
      </c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2"/>
    </row>
    <row r="49" spans="1:56" ht="25.5">
      <c r="A49" s="10">
        <v>151012</v>
      </c>
      <c r="B49" s="11" t="s">
        <v>111</v>
      </c>
      <c r="C49" s="12">
        <f>D49+E49+F49</f>
        <v>6950</v>
      </c>
      <c r="D49" s="12">
        <f>6200-600</f>
        <v>5600</v>
      </c>
      <c r="E49" s="12">
        <v>600</v>
      </c>
      <c r="F49" s="12">
        <v>750</v>
      </c>
      <c r="G49" s="12">
        <f>H49+I49</f>
        <v>600</v>
      </c>
      <c r="H49" s="12">
        <v>600</v>
      </c>
      <c r="I49" s="1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>
        <v>2500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>
        <v>100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2"/>
    </row>
    <row r="50" spans="1:56" ht="25.5">
      <c r="A50" s="10">
        <v>154602</v>
      </c>
      <c r="B50" s="11" t="s">
        <v>112</v>
      </c>
      <c r="C50" s="12"/>
      <c r="D50" s="12"/>
      <c r="E50" s="12"/>
      <c r="F50" s="12"/>
      <c r="G50" s="12">
        <f>H50+I50</f>
        <v>3000</v>
      </c>
      <c r="H50" s="12">
        <v>3000</v>
      </c>
      <c r="I50" s="12"/>
      <c r="J50" s="14">
        <f t="shared" ref="J50:J55" si="7">K50+U50</f>
        <v>187402</v>
      </c>
      <c r="K50" s="14">
        <f>L50+O50</f>
        <v>75962</v>
      </c>
      <c r="L50" s="14">
        <f>M50+N50</f>
        <v>19424</v>
      </c>
      <c r="M50" s="14">
        <v>19424</v>
      </c>
      <c r="N50" s="14"/>
      <c r="O50" s="14">
        <f>P50+R50+S50+T50</f>
        <v>56538</v>
      </c>
      <c r="P50" s="14">
        <v>49366</v>
      </c>
      <c r="Q50" s="14"/>
      <c r="R50" s="14">
        <v>7172</v>
      </c>
      <c r="S50" s="14"/>
      <c r="T50" s="14"/>
      <c r="U50" s="14">
        <f t="shared" ref="U50:U55" si="8">V50+W50+X50</f>
        <v>111440</v>
      </c>
      <c r="V50" s="23">
        <f>103730-4500+11360</f>
        <v>110590</v>
      </c>
      <c r="W50" s="14">
        <v>850</v>
      </c>
      <c r="X50" s="14"/>
      <c r="Y50" s="14">
        <v>56540</v>
      </c>
      <c r="Z50" s="14">
        <f t="shared" ref="Z50:Z55" si="9">AA50+AB50+AD50+AE50+AC50</f>
        <v>153370</v>
      </c>
      <c r="AA50" s="23">
        <f>142390+6980-11360</f>
        <v>138010</v>
      </c>
      <c r="AB50" s="14">
        <v>4000</v>
      </c>
      <c r="AC50" s="14">
        <v>11360</v>
      </c>
      <c r="AD50" s="14"/>
      <c r="AE50" s="14"/>
      <c r="AF50" s="14"/>
      <c r="AG50" s="14">
        <f>AH50+AI50+AJ50+AK50</f>
        <v>38464</v>
      </c>
      <c r="AH50" s="14">
        <v>6616</v>
      </c>
      <c r="AI50" s="14">
        <v>8789</v>
      </c>
      <c r="AJ50" s="14">
        <v>18402</v>
      </c>
      <c r="AK50" s="14">
        <v>4657</v>
      </c>
      <c r="AL50" s="14">
        <v>4500</v>
      </c>
      <c r="AM50" s="14">
        <v>4100</v>
      </c>
      <c r="AN50" s="14">
        <v>11000</v>
      </c>
      <c r="AO50" s="14">
        <v>4100</v>
      </c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2"/>
    </row>
    <row r="51" spans="1:56" ht="25.5">
      <c r="A51" s="10">
        <v>155307</v>
      </c>
      <c r="B51" s="11" t="s">
        <v>113</v>
      </c>
      <c r="C51" s="12"/>
      <c r="D51" s="12"/>
      <c r="E51" s="12"/>
      <c r="F51" s="12"/>
      <c r="G51" s="12"/>
      <c r="H51" s="12"/>
      <c r="I51" s="12"/>
      <c r="J51" s="14">
        <f t="shared" si="7"/>
        <v>48700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f t="shared" si="8"/>
        <v>48700</v>
      </c>
      <c r="V51" s="14">
        <v>48700</v>
      </c>
      <c r="W51" s="14"/>
      <c r="X51" s="14"/>
      <c r="Y51" s="14">
        <v>10250</v>
      </c>
      <c r="Z51" s="14">
        <f t="shared" si="9"/>
        <v>16680</v>
      </c>
      <c r="AA51" s="14">
        <v>16680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2"/>
    </row>
    <row r="52" spans="1:56" ht="25.5">
      <c r="A52" s="10">
        <v>155601</v>
      </c>
      <c r="B52" s="11" t="s">
        <v>114</v>
      </c>
      <c r="C52" s="12"/>
      <c r="D52" s="12"/>
      <c r="E52" s="12"/>
      <c r="F52" s="12"/>
      <c r="G52" s="12">
        <f t="shared" ref="G52:G57" si="10">H52+I52</f>
        <v>200</v>
      </c>
      <c r="H52" s="12">
        <v>200</v>
      </c>
      <c r="I52" s="12"/>
      <c r="J52" s="14">
        <f t="shared" si="7"/>
        <v>109860</v>
      </c>
      <c r="K52" s="14">
        <f>L52+O52</f>
        <v>25070</v>
      </c>
      <c r="L52" s="14">
        <f>M52+N52</f>
        <v>24548</v>
      </c>
      <c r="M52" s="14"/>
      <c r="N52" s="14">
        <v>24548</v>
      </c>
      <c r="O52" s="14">
        <f>P52+R52+S52+T52</f>
        <v>522</v>
      </c>
      <c r="P52" s="14"/>
      <c r="Q52" s="14"/>
      <c r="R52" s="14"/>
      <c r="S52" s="14">
        <v>177</v>
      </c>
      <c r="T52" s="14">
        <v>345</v>
      </c>
      <c r="U52" s="14">
        <f t="shared" si="8"/>
        <v>84790</v>
      </c>
      <c r="V52" s="14">
        <f>82850-2860</f>
        <v>79990</v>
      </c>
      <c r="W52" s="14"/>
      <c r="X52" s="14">
        <v>4800</v>
      </c>
      <c r="Y52" s="14">
        <v>10830</v>
      </c>
      <c r="Z52" s="14">
        <f t="shared" si="9"/>
        <v>69120</v>
      </c>
      <c r="AA52" s="14">
        <f>65480+3640</f>
        <v>69120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>
        <v>6000</v>
      </c>
      <c r="AO52" s="14">
        <v>0</v>
      </c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2"/>
    </row>
    <row r="53" spans="1:56" ht="25.5">
      <c r="A53" s="10">
        <v>161007</v>
      </c>
      <c r="B53" s="11" t="s">
        <v>115</v>
      </c>
      <c r="C53" s="12">
        <f>D53+E53+F53</f>
        <v>24600</v>
      </c>
      <c r="D53" s="12">
        <f>24600-125</f>
        <v>24475</v>
      </c>
      <c r="E53" s="12">
        <v>125</v>
      </c>
      <c r="F53" s="12"/>
      <c r="G53" s="12">
        <f t="shared" si="10"/>
        <v>2000</v>
      </c>
      <c r="H53" s="12">
        <v>2000</v>
      </c>
      <c r="I53" s="12"/>
      <c r="J53" s="14">
        <f t="shared" si="7"/>
        <v>86616</v>
      </c>
      <c r="K53" s="14">
        <f>L53+O53</f>
        <v>24576</v>
      </c>
      <c r="L53" s="14">
        <f>M53+N53</f>
        <v>7025</v>
      </c>
      <c r="M53" s="14">
        <v>7025</v>
      </c>
      <c r="N53" s="14"/>
      <c r="O53" s="14">
        <f>P53+R53+S53+T53</f>
        <v>17551</v>
      </c>
      <c r="P53" s="14">
        <v>14832</v>
      </c>
      <c r="Q53" s="14"/>
      <c r="R53" s="14">
        <v>2719</v>
      </c>
      <c r="S53" s="14"/>
      <c r="T53" s="14"/>
      <c r="U53" s="14">
        <f t="shared" si="8"/>
        <v>62040</v>
      </c>
      <c r="V53" s="23">
        <f>59777-1150+3413</f>
        <v>62040</v>
      </c>
      <c r="W53" s="14"/>
      <c r="X53" s="14"/>
      <c r="Y53" s="14">
        <v>12580</v>
      </c>
      <c r="Z53" s="14">
        <f t="shared" si="9"/>
        <v>47510</v>
      </c>
      <c r="AA53" s="23">
        <f>45310+2200-3413</f>
        <v>44097</v>
      </c>
      <c r="AB53" s="14"/>
      <c r="AC53" s="14">
        <v>3413</v>
      </c>
      <c r="AD53" s="14"/>
      <c r="AE53" s="14"/>
      <c r="AF53" s="14"/>
      <c r="AG53" s="14">
        <f>AH53+AI53+AJ53+AK53</f>
        <v>12049</v>
      </c>
      <c r="AH53" s="14">
        <v>2074</v>
      </c>
      <c r="AI53" s="14">
        <v>2753</v>
      </c>
      <c r="AJ53" s="14">
        <v>5764</v>
      </c>
      <c r="AK53" s="14">
        <v>1458</v>
      </c>
      <c r="AL53" s="14">
        <v>2000</v>
      </c>
      <c r="AM53" s="14">
        <v>1400</v>
      </c>
      <c r="AN53" s="14">
        <v>3500</v>
      </c>
      <c r="AO53" s="14">
        <v>1500</v>
      </c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2"/>
    </row>
    <row r="54" spans="1:56" ht="25.5">
      <c r="A54" s="10">
        <v>161015</v>
      </c>
      <c r="B54" s="11" t="s">
        <v>116</v>
      </c>
      <c r="C54" s="12">
        <f>D54+E54+F54</f>
        <v>1700</v>
      </c>
      <c r="D54" s="12">
        <v>1700</v>
      </c>
      <c r="E54" s="12"/>
      <c r="F54" s="12"/>
      <c r="G54" s="12">
        <f t="shared" si="10"/>
        <v>2500</v>
      </c>
      <c r="H54" s="12">
        <v>2500</v>
      </c>
      <c r="I54" s="12"/>
      <c r="J54" s="14">
        <f t="shared" si="7"/>
        <v>62729</v>
      </c>
      <c r="K54" s="14">
        <f>L54+O54</f>
        <v>23849</v>
      </c>
      <c r="L54" s="14">
        <f>M54+N54</f>
        <v>6860</v>
      </c>
      <c r="M54" s="14">
        <v>6860</v>
      </c>
      <c r="N54" s="14"/>
      <c r="O54" s="14">
        <f>P54+R54+S54+T54</f>
        <v>16989</v>
      </c>
      <c r="P54" s="14">
        <v>15244</v>
      </c>
      <c r="Q54" s="14"/>
      <c r="R54" s="14">
        <v>1745</v>
      </c>
      <c r="S54" s="14"/>
      <c r="T54" s="14"/>
      <c r="U54" s="14">
        <f t="shared" si="8"/>
        <v>38880</v>
      </c>
      <c r="V54" s="23">
        <f>30542-1420+3508</f>
        <v>32630</v>
      </c>
      <c r="W54" s="14">
        <v>250</v>
      </c>
      <c r="X54" s="14">
        <v>6000</v>
      </c>
      <c r="Y54" s="14">
        <v>11850</v>
      </c>
      <c r="Z54" s="14">
        <f t="shared" si="9"/>
        <v>42460</v>
      </c>
      <c r="AA54" s="23">
        <f>40230+2230-3508</f>
        <v>38952</v>
      </c>
      <c r="AB54" s="14"/>
      <c r="AC54" s="14">
        <v>3508</v>
      </c>
      <c r="AD54" s="14"/>
      <c r="AE54" s="14"/>
      <c r="AF54" s="14"/>
      <c r="AG54" s="14">
        <f>AH54+AI54+AJ54+AK54</f>
        <v>12235</v>
      </c>
      <c r="AH54" s="14">
        <v>2106</v>
      </c>
      <c r="AI54" s="14">
        <v>2795</v>
      </c>
      <c r="AJ54" s="14">
        <v>5853</v>
      </c>
      <c r="AK54" s="14">
        <v>1481</v>
      </c>
      <c r="AL54" s="14"/>
      <c r="AM54" s="14"/>
      <c r="AN54" s="14">
        <v>3000</v>
      </c>
      <c r="AO54" s="14">
        <v>700</v>
      </c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2"/>
    </row>
    <row r="55" spans="1:56" ht="25.5">
      <c r="A55" s="10">
        <v>165531</v>
      </c>
      <c r="B55" s="11" t="s">
        <v>117</v>
      </c>
      <c r="C55" s="12"/>
      <c r="D55" s="12"/>
      <c r="E55" s="12"/>
      <c r="F55" s="12"/>
      <c r="G55" s="12">
        <f t="shared" si="10"/>
        <v>700</v>
      </c>
      <c r="H55" s="12">
        <v>700</v>
      </c>
      <c r="I55" s="12"/>
      <c r="J55" s="14">
        <f t="shared" si="7"/>
        <v>98340</v>
      </c>
      <c r="K55" s="14">
        <f>L55+O55</f>
        <v>23590</v>
      </c>
      <c r="L55" s="14">
        <f>M55+N55</f>
        <v>23327</v>
      </c>
      <c r="M55" s="14"/>
      <c r="N55" s="14">
        <v>23327</v>
      </c>
      <c r="O55" s="14">
        <f>P55+R55+S55+T55</f>
        <v>263</v>
      </c>
      <c r="P55" s="14"/>
      <c r="Q55" s="14"/>
      <c r="R55" s="14"/>
      <c r="S55" s="14">
        <v>150</v>
      </c>
      <c r="T55" s="14">
        <v>113</v>
      </c>
      <c r="U55" s="14">
        <f t="shared" si="8"/>
        <v>74750</v>
      </c>
      <c r="V55" s="14">
        <f>77420-2670</f>
        <v>74750</v>
      </c>
      <c r="W55" s="14"/>
      <c r="X55" s="14"/>
      <c r="Y55" s="14">
        <v>10120</v>
      </c>
      <c r="Z55" s="14">
        <f t="shared" si="9"/>
        <v>64590</v>
      </c>
      <c r="AA55" s="14">
        <f>61190+3400</f>
        <v>64590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4500</v>
      </c>
      <c r="AO55" s="14">
        <v>0</v>
      </c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2"/>
    </row>
    <row r="56" spans="1:56" ht="25.5">
      <c r="A56" s="10">
        <v>171004</v>
      </c>
      <c r="B56" s="11" t="s">
        <v>118</v>
      </c>
      <c r="C56" s="12">
        <f>D56+E56+F56</f>
        <v>11500</v>
      </c>
      <c r="D56" s="12">
        <f>11500-110</f>
        <v>11390</v>
      </c>
      <c r="E56" s="12">
        <v>110</v>
      </c>
      <c r="F56" s="12"/>
      <c r="G56" s="12">
        <f t="shared" si="10"/>
        <v>2500</v>
      </c>
      <c r="H56" s="12">
        <v>2500</v>
      </c>
      <c r="I56" s="12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>
        <v>11900</v>
      </c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>
        <v>1000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2"/>
    </row>
    <row r="57" spans="1:56" ht="25.5">
      <c r="A57" s="10">
        <v>174601</v>
      </c>
      <c r="B57" s="11" t="s">
        <v>119</v>
      </c>
      <c r="C57" s="12"/>
      <c r="D57" s="12"/>
      <c r="E57" s="12"/>
      <c r="F57" s="12"/>
      <c r="G57" s="12">
        <f t="shared" si="10"/>
        <v>3400</v>
      </c>
      <c r="H57" s="12">
        <v>3400</v>
      </c>
      <c r="I57" s="12"/>
      <c r="J57" s="14">
        <f t="shared" ref="J57:J64" si="11">K57+U57</f>
        <v>157531</v>
      </c>
      <c r="K57" s="14">
        <f>L57+O57</f>
        <v>63681</v>
      </c>
      <c r="L57" s="14">
        <f>M57+N57</f>
        <v>15970</v>
      </c>
      <c r="M57" s="14">
        <v>15970</v>
      </c>
      <c r="N57" s="14"/>
      <c r="O57" s="14">
        <f>P57+R57+S57+T57</f>
        <v>47711</v>
      </c>
      <c r="P57" s="14">
        <v>41107</v>
      </c>
      <c r="Q57" s="14"/>
      <c r="R57" s="14">
        <v>6604</v>
      </c>
      <c r="S57" s="14"/>
      <c r="T57" s="14"/>
      <c r="U57" s="14">
        <f t="shared" ref="U57:U64" si="12">V57+W57+X57</f>
        <v>93850</v>
      </c>
      <c r="V57" s="23">
        <f>87460-4120+9460</f>
        <v>92800</v>
      </c>
      <c r="W57" s="14">
        <v>1050</v>
      </c>
      <c r="X57" s="14"/>
      <c r="Y57" s="14">
        <v>56890</v>
      </c>
      <c r="Z57" s="14">
        <f t="shared" ref="Z57:Z64" si="13">AA57+AB57+AD57+AE57+AC57</f>
        <v>132820</v>
      </c>
      <c r="AA57" s="23">
        <f>122990+5830-9460</f>
        <v>119360</v>
      </c>
      <c r="AB57" s="14">
        <v>4000</v>
      </c>
      <c r="AC57" s="14">
        <v>9460</v>
      </c>
      <c r="AD57" s="14"/>
      <c r="AE57" s="14"/>
      <c r="AF57" s="14"/>
      <c r="AG57" s="14">
        <f>AH57+AI57+AJ57+AK57</f>
        <v>31947</v>
      </c>
      <c r="AH57" s="14">
        <v>5499</v>
      </c>
      <c r="AI57" s="14">
        <v>7299</v>
      </c>
      <c r="AJ57" s="14">
        <v>15283</v>
      </c>
      <c r="AK57" s="14">
        <v>3866</v>
      </c>
      <c r="AL57" s="14">
        <v>4000</v>
      </c>
      <c r="AM57" s="14">
        <v>2000</v>
      </c>
      <c r="AN57" s="14">
        <v>8500</v>
      </c>
      <c r="AO57" s="14">
        <v>4000</v>
      </c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2"/>
    </row>
    <row r="58" spans="1:56" ht="25.5">
      <c r="A58" s="10">
        <v>175303</v>
      </c>
      <c r="B58" s="11" t="s">
        <v>120</v>
      </c>
      <c r="C58" s="12"/>
      <c r="D58" s="12"/>
      <c r="E58" s="12"/>
      <c r="F58" s="12"/>
      <c r="G58" s="12"/>
      <c r="H58" s="12"/>
      <c r="I58" s="12"/>
      <c r="J58" s="14">
        <f t="shared" si="11"/>
        <v>31470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>
        <f t="shared" si="12"/>
        <v>31470</v>
      </c>
      <c r="V58" s="14">
        <v>31470</v>
      </c>
      <c r="W58" s="14"/>
      <c r="X58" s="14"/>
      <c r="Y58" s="14">
        <v>7650</v>
      </c>
      <c r="Z58" s="14">
        <f t="shared" si="13"/>
        <v>19840</v>
      </c>
      <c r="AA58" s="14">
        <v>19840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2"/>
    </row>
    <row r="59" spans="1:56" ht="25.5">
      <c r="A59" s="10">
        <v>175603</v>
      </c>
      <c r="B59" s="11" t="s">
        <v>121</v>
      </c>
      <c r="C59" s="12"/>
      <c r="D59" s="12"/>
      <c r="E59" s="12"/>
      <c r="F59" s="12"/>
      <c r="G59" s="12">
        <f>H59+I59</f>
        <v>200</v>
      </c>
      <c r="H59" s="12">
        <v>200</v>
      </c>
      <c r="I59" s="12"/>
      <c r="J59" s="14">
        <f t="shared" si="11"/>
        <v>90192</v>
      </c>
      <c r="K59" s="14">
        <f>L59+O59</f>
        <v>21334</v>
      </c>
      <c r="L59" s="14">
        <f>M59+N59</f>
        <v>21163</v>
      </c>
      <c r="M59" s="14"/>
      <c r="N59" s="14">
        <v>21163</v>
      </c>
      <c r="O59" s="14">
        <f>P59+R59+S59+T59</f>
        <v>171</v>
      </c>
      <c r="P59" s="14"/>
      <c r="Q59" s="14"/>
      <c r="R59" s="14"/>
      <c r="S59" s="14">
        <v>171</v>
      </c>
      <c r="T59" s="14"/>
      <c r="U59" s="14">
        <f t="shared" si="12"/>
        <v>68858</v>
      </c>
      <c r="V59" s="14">
        <f>71190-2450</f>
        <v>68740</v>
      </c>
      <c r="W59" s="23">
        <f>0+118</f>
        <v>118</v>
      </c>
      <c r="X59" s="14"/>
      <c r="Y59" s="14">
        <v>9310</v>
      </c>
      <c r="Z59" s="14">
        <f t="shared" si="13"/>
        <v>59390</v>
      </c>
      <c r="AA59" s="14">
        <f>56270+3120</f>
        <v>59390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>
        <v>2800</v>
      </c>
      <c r="AO59" s="14">
        <v>0</v>
      </c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2"/>
    </row>
    <row r="60" spans="1:56" ht="38.25">
      <c r="A60" s="10">
        <v>184551</v>
      </c>
      <c r="B60" s="11" t="s">
        <v>122</v>
      </c>
      <c r="C60" s="12"/>
      <c r="D60" s="12"/>
      <c r="E60" s="12"/>
      <c r="F60" s="12"/>
      <c r="G60" s="12">
        <f>H60+I60</f>
        <v>100</v>
      </c>
      <c r="H60" s="12">
        <v>100</v>
      </c>
      <c r="I60" s="12"/>
      <c r="J60" s="14">
        <f t="shared" si="11"/>
        <v>5370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f t="shared" si="12"/>
        <v>5370</v>
      </c>
      <c r="V60" s="14">
        <v>5370</v>
      </c>
      <c r="W60" s="14"/>
      <c r="X60" s="14"/>
      <c r="Y60" s="14">
        <v>120</v>
      </c>
      <c r="Z60" s="14">
        <f t="shared" si="13"/>
        <v>8340</v>
      </c>
      <c r="AA60" s="14">
        <v>8340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>
        <v>700</v>
      </c>
      <c r="AO60" s="14">
        <v>0</v>
      </c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2"/>
    </row>
    <row r="61" spans="1:56" ht="25.5">
      <c r="A61" s="10">
        <v>184603</v>
      </c>
      <c r="B61" s="11" t="s">
        <v>123</v>
      </c>
      <c r="C61" s="12"/>
      <c r="D61" s="12"/>
      <c r="E61" s="12"/>
      <c r="F61" s="12"/>
      <c r="G61" s="12">
        <f>H61+I61</f>
        <v>2500</v>
      </c>
      <c r="H61" s="12">
        <v>2500</v>
      </c>
      <c r="I61" s="12"/>
      <c r="J61" s="14">
        <f t="shared" si="11"/>
        <v>99620</v>
      </c>
      <c r="K61" s="14">
        <f>L61+O61</f>
        <v>43050</v>
      </c>
      <c r="L61" s="14">
        <f>M61+N61</f>
        <v>11310</v>
      </c>
      <c r="M61" s="14">
        <v>11310</v>
      </c>
      <c r="N61" s="14"/>
      <c r="O61" s="14">
        <f>P61+R61+S61+T61</f>
        <v>31740</v>
      </c>
      <c r="P61" s="14">
        <v>26516</v>
      </c>
      <c r="Q61" s="14"/>
      <c r="R61" s="14">
        <v>5224</v>
      </c>
      <c r="S61" s="14"/>
      <c r="T61" s="14"/>
      <c r="U61" s="14">
        <f t="shared" si="12"/>
        <v>56570</v>
      </c>
      <c r="V61" s="23">
        <f>52488-2340+6102</f>
        <v>56250</v>
      </c>
      <c r="W61" s="14">
        <v>320</v>
      </c>
      <c r="X61" s="14"/>
      <c r="Y61" s="14">
        <v>54520</v>
      </c>
      <c r="Z61" s="14">
        <f t="shared" si="13"/>
        <v>80240</v>
      </c>
      <c r="AA61" s="23">
        <f>76400+3840-6102</f>
        <v>74138</v>
      </c>
      <c r="AB61" s="14"/>
      <c r="AC61" s="14">
        <v>6102</v>
      </c>
      <c r="AD61" s="14"/>
      <c r="AE61" s="14"/>
      <c r="AF61" s="14"/>
      <c r="AG61" s="14">
        <f>AH61+AI61+AJ61+AK61</f>
        <v>21023</v>
      </c>
      <c r="AH61" s="14">
        <v>3619</v>
      </c>
      <c r="AI61" s="14">
        <v>4803</v>
      </c>
      <c r="AJ61" s="14">
        <v>10057</v>
      </c>
      <c r="AK61" s="14">
        <v>2544</v>
      </c>
      <c r="AL61" s="14"/>
      <c r="AM61" s="14"/>
      <c r="AN61" s="14">
        <v>5500</v>
      </c>
      <c r="AO61" s="14">
        <v>2000</v>
      </c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2"/>
    </row>
    <row r="62" spans="1:56" ht="25.5">
      <c r="A62" s="10">
        <v>185402</v>
      </c>
      <c r="B62" s="11" t="s">
        <v>124</v>
      </c>
      <c r="C62" s="12"/>
      <c r="D62" s="12"/>
      <c r="E62" s="12"/>
      <c r="F62" s="12"/>
      <c r="G62" s="12">
        <f>H62+I62</f>
        <v>200</v>
      </c>
      <c r="H62" s="12">
        <v>200</v>
      </c>
      <c r="I62" s="12"/>
      <c r="J62" s="14">
        <f t="shared" si="11"/>
        <v>55600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f t="shared" si="12"/>
        <v>55600</v>
      </c>
      <c r="V62" s="14">
        <v>55600</v>
      </c>
      <c r="W62" s="14"/>
      <c r="X62" s="14"/>
      <c r="Y62" s="14">
        <v>8200</v>
      </c>
      <c r="Z62" s="14">
        <f t="shared" si="13"/>
        <v>15900</v>
      </c>
      <c r="AA62" s="14">
        <v>15900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2"/>
    </row>
    <row r="63" spans="1:56" ht="25.5">
      <c r="A63" s="10">
        <v>185515</v>
      </c>
      <c r="B63" s="11" t="s">
        <v>125</v>
      </c>
      <c r="C63" s="12"/>
      <c r="D63" s="12"/>
      <c r="E63" s="12"/>
      <c r="F63" s="12"/>
      <c r="G63" s="12"/>
      <c r="H63" s="12"/>
      <c r="I63" s="12"/>
      <c r="J63" s="14">
        <f t="shared" si="11"/>
        <v>85390</v>
      </c>
      <c r="K63" s="14">
        <f>L63+O63</f>
        <v>20414</v>
      </c>
      <c r="L63" s="14">
        <f>M63+N63</f>
        <v>20017</v>
      </c>
      <c r="M63" s="14"/>
      <c r="N63" s="14">
        <v>20017</v>
      </c>
      <c r="O63" s="14">
        <f>P63+R63+S63+T63</f>
        <v>397</v>
      </c>
      <c r="P63" s="14"/>
      <c r="Q63" s="14"/>
      <c r="R63" s="14"/>
      <c r="S63" s="14">
        <v>113</v>
      </c>
      <c r="T63" s="14">
        <v>284</v>
      </c>
      <c r="U63" s="14">
        <f t="shared" si="12"/>
        <v>64976</v>
      </c>
      <c r="V63" s="14">
        <f>67230-2320</f>
        <v>64910</v>
      </c>
      <c r="W63" s="23">
        <f>0+66</f>
        <v>66</v>
      </c>
      <c r="X63" s="14"/>
      <c r="Y63" s="14">
        <v>8790</v>
      </c>
      <c r="Z63" s="14">
        <f t="shared" si="13"/>
        <v>56090</v>
      </c>
      <c r="AA63" s="14">
        <f>53140+2950</f>
        <v>56090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1700</v>
      </c>
      <c r="AO63" s="14">
        <v>500</v>
      </c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2"/>
    </row>
    <row r="64" spans="1:56" ht="25.5">
      <c r="A64" s="10">
        <v>185904</v>
      </c>
      <c r="B64" s="11" t="s">
        <v>126</v>
      </c>
      <c r="C64" s="12"/>
      <c r="D64" s="12"/>
      <c r="E64" s="12"/>
      <c r="F64" s="12"/>
      <c r="G64" s="12"/>
      <c r="H64" s="12"/>
      <c r="I64" s="12"/>
      <c r="J64" s="14">
        <f t="shared" si="11"/>
        <v>37770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f t="shared" si="12"/>
        <v>37770</v>
      </c>
      <c r="V64" s="14">
        <v>37770</v>
      </c>
      <c r="W64" s="14"/>
      <c r="X64" s="14"/>
      <c r="Y64" s="14">
        <v>540</v>
      </c>
      <c r="Z64" s="14">
        <f t="shared" si="13"/>
        <v>8210</v>
      </c>
      <c r="AA64" s="14">
        <v>8210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2"/>
    </row>
    <row r="65" spans="1:56" ht="63.75">
      <c r="A65" s="10">
        <v>185905</v>
      </c>
      <c r="B65" s="11" t="s">
        <v>127</v>
      </c>
      <c r="C65" s="12">
        <f>D65+E65+F65</f>
        <v>930</v>
      </c>
      <c r="D65" s="12">
        <f>930-100</f>
        <v>830</v>
      </c>
      <c r="E65" s="12">
        <v>100</v>
      </c>
      <c r="F65" s="12"/>
      <c r="G65" s="12">
        <f t="shared" ref="G65:G73" si="14">H65+I65</f>
        <v>700</v>
      </c>
      <c r="H65" s="12">
        <v>700</v>
      </c>
      <c r="I65" s="1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>
        <v>700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>
        <v>2000</v>
      </c>
      <c r="AM65" s="14"/>
      <c r="AN65" s="14"/>
      <c r="AO65" s="14"/>
      <c r="AP65" s="14"/>
      <c r="AQ65" s="14">
        <v>200</v>
      </c>
      <c r="AR65" s="14">
        <v>100</v>
      </c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2"/>
    </row>
    <row r="66" spans="1:56" ht="63.75">
      <c r="A66" s="10">
        <v>185906</v>
      </c>
      <c r="B66" s="11" t="s">
        <v>128</v>
      </c>
      <c r="C66" s="12"/>
      <c r="D66" s="12"/>
      <c r="E66" s="12"/>
      <c r="F66" s="12"/>
      <c r="G66" s="12">
        <f t="shared" si="14"/>
        <v>100</v>
      </c>
      <c r="H66" s="12">
        <v>100</v>
      </c>
      <c r="I66" s="12"/>
      <c r="J66" s="14">
        <f t="shared" ref="J66:J97" si="15">K66+U66</f>
        <v>650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>
        <f t="shared" ref="U66:U97" si="16">V66+W66+X66</f>
        <v>650</v>
      </c>
      <c r="V66" s="14">
        <v>650</v>
      </c>
      <c r="W66" s="14"/>
      <c r="X66" s="14"/>
      <c r="Y66" s="14"/>
      <c r="Z66" s="14">
        <f t="shared" ref="Z66:Z97" si="17">AA66+AB66+AD66+AE66+AC66</f>
        <v>2030</v>
      </c>
      <c r="AA66" s="14">
        <v>2030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2"/>
    </row>
    <row r="67" spans="1:56" ht="25.5">
      <c r="A67" s="10">
        <v>186002</v>
      </c>
      <c r="B67" s="11" t="s">
        <v>129</v>
      </c>
      <c r="C67" s="12">
        <f>D67+E67+F67</f>
        <v>2500</v>
      </c>
      <c r="D67" s="12">
        <v>2500</v>
      </c>
      <c r="E67" s="12"/>
      <c r="F67" s="12"/>
      <c r="G67" s="12">
        <f t="shared" si="14"/>
        <v>1400</v>
      </c>
      <c r="H67" s="12">
        <v>1400</v>
      </c>
      <c r="I67" s="12"/>
      <c r="J67" s="14">
        <f t="shared" si="15"/>
        <v>96190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>
        <f t="shared" si="16"/>
        <v>96190</v>
      </c>
      <c r="V67" s="14">
        <v>96190</v>
      </c>
      <c r="W67" s="14"/>
      <c r="X67" s="14"/>
      <c r="Y67" s="14">
        <v>1370</v>
      </c>
      <c r="Z67" s="14">
        <f t="shared" si="17"/>
        <v>16950</v>
      </c>
      <c r="AA67" s="14">
        <v>16950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2"/>
    </row>
    <row r="68" spans="1:56" ht="25.5">
      <c r="A68" s="10">
        <v>251001</v>
      </c>
      <c r="B68" s="11" t="s">
        <v>130</v>
      </c>
      <c r="C68" s="12">
        <f>D68+E68+F68</f>
        <v>19200</v>
      </c>
      <c r="D68" s="12">
        <f>19200-457</f>
        <v>18743</v>
      </c>
      <c r="E68" s="12">
        <v>457</v>
      </c>
      <c r="F68" s="12"/>
      <c r="G68" s="12">
        <f t="shared" si="14"/>
        <v>2275</v>
      </c>
      <c r="H68" s="12">
        <v>2275</v>
      </c>
      <c r="I68" s="12"/>
      <c r="J68" s="14">
        <f t="shared" si="15"/>
        <v>114138</v>
      </c>
      <c r="K68" s="14">
        <f>L68+O68</f>
        <v>41938</v>
      </c>
      <c r="L68" s="14">
        <f>M68+N68</f>
        <v>11060</v>
      </c>
      <c r="M68" s="14">
        <v>11060</v>
      </c>
      <c r="N68" s="14"/>
      <c r="O68" s="14">
        <f>P68+R68+S68+T68</f>
        <v>30878</v>
      </c>
      <c r="P68" s="14">
        <v>26781</v>
      </c>
      <c r="Q68" s="14"/>
      <c r="R68" s="14">
        <v>4097</v>
      </c>
      <c r="S68" s="14"/>
      <c r="T68" s="14"/>
      <c r="U68" s="14">
        <f t="shared" si="16"/>
        <v>72200</v>
      </c>
      <c r="V68" s="23">
        <f>68067-2250+6163</f>
        <v>71980</v>
      </c>
      <c r="W68" s="14">
        <v>220</v>
      </c>
      <c r="X68" s="14"/>
      <c r="Y68" s="14">
        <v>28580</v>
      </c>
      <c r="Z68" s="14">
        <f t="shared" si="17"/>
        <v>87790</v>
      </c>
      <c r="AA68" s="23">
        <f>79940+3850-6163</f>
        <v>77627</v>
      </c>
      <c r="AB68" s="14">
        <v>4000</v>
      </c>
      <c r="AC68" s="14">
        <v>6163</v>
      </c>
      <c r="AD68" s="14"/>
      <c r="AE68" s="14"/>
      <c r="AF68" s="14"/>
      <c r="AG68" s="14">
        <f>AH68+AI68+AJ68+AK68</f>
        <v>21084</v>
      </c>
      <c r="AH68" s="14">
        <v>3629</v>
      </c>
      <c r="AI68" s="14">
        <v>4817</v>
      </c>
      <c r="AJ68" s="14">
        <v>10086</v>
      </c>
      <c r="AK68" s="14">
        <v>2552</v>
      </c>
      <c r="AL68" s="14">
        <v>9000</v>
      </c>
      <c r="AM68" s="14">
        <v>1200</v>
      </c>
      <c r="AN68" s="14">
        <v>9000</v>
      </c>
      <c r="AO68" s="14">
        <v>1600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2"/>
    </row>
    <row r="69" spans="1:56" ht="25.5">
      <c r="A69" s="10">
        <v>251002</v>
      </c>
      <c r="B69" s="11" t="s">
        <v>131</v>
      </c>
      <c r="C69" s="12">
        <f>D69+E69+F69</f>
        <v>13300</v>
      </c>
      <c r="D69" s="12">
        <v>12600</v>
      </c>
      <c r="E69" s="12"/>
      <c r="F69" s="12">
        <v>700</v>
      </c>
      <c r="G69" s="12">
        <f t="shared" si="14"/>
        <v>1400</v>
      </c>
      <c r="H69" s="12">
        <v>1400</v>
      </c>
      <c r="I69" s="12"/>
      <c r="J69" s="14">
        <f t="shared" si="15"/>
        <v>86004</v>
      </c>
      <c r="K69" s="14">
        <f>L69+O69</f>
        <v>27094</v>
      </c>
      <c r="L69" s="14">
        <f>M69+N69</f>
        <v>6535</v>
      </c>
      <c r="M69" s="14">
        <v>6535</v>
      </c>
      <c r="N69" s="14"/>
      <c r="O69" s="14">
        <f>P69+R69+S69+T69</f>
        <v>20559</v>
      </c>
      <c r="P69" s="14">
        <v>18195</v>
      </c>
      <c r="Q69" s="14"/>
      <c r="R69" s="14">
        <v>2364</v>
      </c>
      <c r="S69" s="14"/>
      <c r="T69" s="14"/>
      <c r="U69" s="14">
        <f t="shared" si="16"/>
        <v>58910</v>
      </c>
      <c r="V69" s="23">
        <f>56053-1850+4187</f>
        <v>58390</v>
      </c>
      <c r="W69" s="14">
        <v>520</v>
      </c>
      <c r="X69" s="14"/>
      <c r="Y69" s="14">
        <v>23200</v>
      </c>
      <c r="Z69" s="14">
        <f t="shared" si="17"/>
        <v>63320</v>
      </c>
      <c r="AA69" s="23">
        <f>56770+2550-4187</f>
        <v>55133</v>
      </c>
      <c r="AB69" s="14">
        <v>4000</v>
      </c>
      <c r="AC69" s="14">
        <v>4187</v>
      </c>
      <c r="AD69" s="14"/>
      <c r="AE69" s="14"/>
      <c r="AF69" s="14"/>
      <c r="AG69" s="14">
        <f>AH69+AI69+AJ69+AK69</f>
        <v>13920</v>
      </c>
      <c r="AH69" s="14">
        <v>2396</v>
      </c>
      <c r="AI69" s="14">
        <v>3180</v>
      </c>
      <c r="AJ69" s="14">
        <v>6659</v>
      </c>
      <c r="AK69" s="14">
        <v>1685</v>
      </c>
      <c r="AL69" s="14">
        <v>1500</v>
      </c>
      <c r="AM69" s="14">
        <v>1100</v>
      </c>
      <c r="AN69" s="14">
        <v>5500</v>
      </c>
      <c r="AO69" s="14">
        <v>1400</v>
      </c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2"/>
    </row>
    <row r="70" spans="1:56" ht="25.5">
      <c r="A70" s="10">
        <v>251003</v>
      </c>
      <c r="B70" s="11" t="s">
        <v>132</v>
      </c>
      <c r="C70" s="12">
        <f>D70+E70+F70</f>
        <v>2200</v>
      </c>
      <c r="D70" s="12">
        <v>2200</v>
      </c>
      <c r="E70" s="12"/>
      <c r="F70" s="12"/>
      <c r="G70" s="12">
        <f t="shared" si="14"/>
        <v>2200</v>
      </c>
      <c r="H70" s="12">
        <v>2200</v>
      </c>
      <c r="I70" s="12"/>
      <c r="J70" s="14">
        <f t="shared" si="15"/>
        <v>115509</v>
      </c>
      <c r="K70" s="14">
        <f>L70+O70</f>
        <v>39329</v>
      </c>
      <c r="L70" s="14">
        <f>M70+N70</f>
        <v>9688</v>
      </c>
      <c r="M70" s="14">
        <v>9688</v>
      </c>
      <c r="N70" s="14"/>
      <c r="O70" s="14">
        <f>P70+R70+S70+T70</f>
        <v>29641</v>
      </c>
      <c r="P70" s="14">
        <v>26020</v>
      </c>
      <c r="Q70" s="14"/>
      <c r="R70" s="14">
        <v>3621</v>
      </c>
      <c r="S70" s="14"/>
      <c r="T70" s="14"/>
      <c r="U70" s="14">
        <f t="shared" si="16"/>
        <v>76180</v>
      </c>
      <c r="V70" s="23">
        <f>72122-2180+5988</f>
        <v>75930</v>
      </c>
      <c r="W70" s="14">
        <v>250</v>
      </c>
      <c r="X70" s="14"/>
      <c r="Y70" s="14">
        <v>26600</v>
      </c>
      <c r="Z70" s="14">
        <f t="shared" si="17"/>
        <v>72900</v>
      </c>
      <c r="AA70" s="23">
        <f>69230+3670-5988</f>
        <v>66912</v>
      </c>
      <c r="AB70" s="14"/>
      <c r="AC70" s="14">
        <v>5988</v>
      </c>
      <c r="AD70" s="14"/>
      <c r="AE70" s="14"/>
      <c r="AF70" s="14"/>
      <c r="AG70" s="14">
        <f>AH70+AI70+AJ70+AK70</f>
        <v>20049</v>
      </c>
      <c r="AH70" s="14">
        <v>3451</v>
      </c>
      <c r="AI70" s="14">
        <v>4581</v>
      </c>
      <c r="AJ70" s="14">
        <v>9591</v>
      </c>
      <c r="AK70" s="14">
        <v>2426</v>
      </c>
      <c r="AL70" s="14">
        <v>2000</v>
      </c>
      <c r="AM70" s="14"/>
      <c r="AN70" s="14">
        <v>3000</v>
      </c>
      <c r="AO70" s="14">
        <v>1000</v>
      </c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2"/>
    </row>
    <row r="71" spans="1:56" ht="25.5">
      <c r="A71" s="10">
        <v>251008</v>
      </c>
      <c r="B71" s="11" t="s">
        <v>133</v>
      </c>
      <c r="C71" s="12">
        <f>D71+E71+F71</f>
        <v>6400</v>
      </c>
      <c r="D71" s="12">
        <v>5600</v>
      </c>
      <c r="E71" s="12"/>
      <c r="F71" s="12">
        <v>800</v>
      </c>
      <c r="G71" s="12">
        <f t="shared" si="14"/>
        <v>3000</v>
      </c>
      <c r="H71" s="12">
        <v>2500</v>
      </c>
      <c r="I71" s="12">
        <v>500</v>
      </c>
      <c r="J71" s="14">
        <f t="shared" si="15"/>
        <v>140354</v>
      </c>
      <c r="K71" s="14">
        <f>L71+O71</f>
        <v>33670</v>
      </c>
      <c r="L71" s="14">
        <f>M71+N71</f>
        <v>32905</v>
      </c>
      <c r="M71" s="14"/>
      <c r="N71" s="14">
        <v>32905</v>
      </c>
      <c r="O71" s="14">
        <f>P71+R71+S71+T71</f>
        <v>765</v>
      </c>
      <c r="P71" s="14"/>
      <c r="Q71" s="14"/>
      <c r="R71" s="14"/>
      <c r="S71" s="14">
        <v>520</v>
      </c>
      <c r="T71" s="14">
        <v>245</v>
      </c>
      <c r="U71" s="14">
        <f t="shared" si="16"/>
        <v>106684</v>
      </c>
      <c r="V71" s="14">
        <f>110450-3850</f>
        <v>106600</v>
      </c>
      <c r="W71" s="23">
        <f>40+44</f>
        <v>84</v>
      </c>
      <c r="X71" s="14"/>
      <c r="Y71" s="14">
        <v>14440</v>
      </c>
      <c r="Z71" s="14">
        <f t="shared" si="17"/>
        <v>92140</v>
      </c>
      <c r="AA71" s="14">
        <f>87290+4850</f>
        <v>92140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>
        <v>1000</v>
      </c>
      <c r="AO71" s="14">
        <v>100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2"/>
    </row>
    <row r="72" spans="1:56" ht="25.5">
      <c r="A72" s="10">
        <v>254505</v>
      </c>
      <c r="B72" s="11" t="s">
        <v>134</v>
      </c>
      <c r="C72" s="12"/>
      <c r="D72" s="12"/>
      <c r="E72" s="12"/>
      <c r="F72" s="12"/>
      <c r="G72" s="12">
        <f t="shared" si="14"/>
        <v>600</v>
      </c>
      <c r="H72" s="12">
        <v>600</v>
      </c>
      <c r="I72" s="12"/>
      <c r="J72" s="14">
        <f t="shared" si="15"/>
        <v>96628</v>
      </c>
      <c r="K72" s="14">
        <f>L72+O72</f>
        <v>33278</v>
      </c>
      <c r="L72" s="14">
        <f>M72+N72</f>
        <v>8886</v>
      </c>
      <c r="M72" s="14">
        <v>8886</v>
      </c>
      <c r="N72" s="14"/>
      <c r="O72" s="14">
        <f>P72+R72+S72+T72</f>
        <v>24392</v>
      </c>
      <c r="P72" s="14">
        <v>20821</v>
      </c>
      <c r="Q72" s="14"/>
      <c r="R72" s="14">
        <v>3571</v>
      </c>
      <c r="S72" s="14"/>
      <c r="T72" s="14"/>
      <c r="U72" s="14">
        <f t="shared" si="16"/>
        <v>63350</v>
      </c>
      <c r="V72" s="23">
        <f>60138-1900+4792</f>
        <v>63030</v>
      </c>
      <c r="W72" s="14">
        <v>320</v>
      </c>
      <c r="X72" s="14"/>
      <c r="Y72" s="14">
        <v>20280</v>
      </c>
      <c r="Z72" s="14">
        <f t="shared" si="17"/>
        <v>66120</v>
      </c>
      <c r="AA72" s="23">
        <f>63100+3020-4792</f>
        <v>61328</v>
      </c>
      <c r="AB72" s="14"/>
      <c r="AC72" s="14">
        <v>4792</v>
      </c>
      <c r="AD72" s="14"/>
      <c r="AE72" s="14"/>
      <c r="AF72" s="14"/>
      <c r="AG72" s="14">
        <f>AH72+AI72+AJ72+AK72</f>
        <v>16510</v>
      </c>
      <c r="AH72" s="14">
        <v>2842</v>
      </c>
      <c r="AI72" s="14">
        <v>3772</v>
      </c>
      <c r="AJ72" s="14">
        <v>7898</v>
      </c>
      <c r="AK72" s="14">
        <v>1998</v>
      </c>
      <c r="AL72" s="14"/>
      <c r="AM72" s="14"/>
      <c r="AN72" s="14">
        <v>2000</v>
      </c>
      <c r="AO72" s="14">
        <v>1000</v>
      </c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2"/>
    </row>
    <row r="73" spans="1:56">
      <c r="A73" s="10">
        <v>254570</v>
      </c>
      <c r="B73" s="11" t="s">
        <v>135</v>
      </c>
      <c r="C73" s="12"/>
      <c r="D73" s="12"/>
      <c r="E73" s="12"/>
      <c r="F73" s="12"/>
      <c r="G73" s="12">
        <f t="shared" si="14"/>
        <v>100</v>
      </c>
      <c r="H73" s="12">
        <v>100</v>
      </c>
      <c r="I73" s="12"/>
      <c r="J73" s="14">
        <f t="shared" si="15"/>
        <v>18720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>
        <f t="shared" si="16"/>
        <v>18720</v>
      </c>
      <c r="V73" s="14">
        <v>18720</v>
      </c>
      <c r="W73" s="14"/>
      <c r="X73" s="14"/>
      <c r="Y73" s="14">
        <v>680</v>
      </c>
      <c r="Z73" s="14">
        <f t="shared" si="17"/>
        <v>10110</v>
      </c>
      <c r="AA73" s="14">
        <v>10110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2"/>
    </row>
    <row r="74" spans="1:56" ht="25.5">
      <c r="A74" s="10">
        <v>255315</v>
      </c>
      <c r="B74" s="11" t="s">
        <v>136</v>
      </c>
      <c r="C74" s="12"/>
      <c r="D74" s="12"/>
      <c r="E74" s="12"/>
      <c r="F74" s="12"/>
      <c r="G74" s="12"/>
      <c r="H74" s="12"/>
      <c r="I74" s="12"/>
      <c r="J74" s="14">
        <f t="shared" si="15"/>
        <v>115000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>
        <f t="shared" si="16"/>
        <v>115000</v>
      </c>
      <c r="V74" s="14">
        <v>115000</v>
      </c>
      <c r="W74" s="14"/>
      <c r="X74" s="14"/>
      <c r="Y74" s="14">
        <v>23000</v>
      </c>
      <c r="Z74" s="14">
        <f t="shared" si="17"/>
        <v>38500</v>
      </c>
      <c r="AA74" s="14">
        <v>38500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2"/>
    </row>
    <row r="75" spans="1:56" ht="25.5">
      <c r="A75" s="10">
        <v>255627</v>
      </c>
      <c r="B75" s="11" t="s">
        <v>137</v>
      </c>
      <c r="C75" s="12"/>
      <c r="D75" s="12"/>
      <c r="E75" s="12"/>
      <c r="F75" s="12"/>
      <c r="G75" s="12">
        <f t="shared" ref="G75:G82" si="18">H75+I75</f>
        <v>900</v>
      </c>
      <c r="H75" s="12">
        <v>900</v>
      </c>
      <c r="I75" s="12"/>
      <c r="J75" s="14">
        <f t="shared" si="15"/>
        <v>75833</v>
      </c>
      <c r="K75" s="14">
        <f t="shared" ref="K75:K82" si="19">L75+O75</f>
        <v>17588</v>
      </c>
      <c r="L75" s="14">
        <f t="shared" ref="L75:L82" si="20">M75+N75</f>
        <v>17274</v>
      </c>
      <c r="M75" s="14"/>
      <c r="N75" s="14">
        <v>17274</v>
      </c>
      <c r="O75" s="14">
        <f t="shared" ref="O75:O82" si="21">P75+R75+S75+T75</f>
        <v>314</v>
      </c>
      <c r="P75" s="14"/>
      <c r="Q75" s="14"/>
      <c r="R75" s="14"/>
      <c r="S75" s="14">
        <v>179</v>
      </c>
      <c r="T75" s="14">
        <v>135</v>
      </c>
      <c r="U75" s="14">
        <f t="shared" si="16"/>
        <v>58245</v>
      </c>
      <c r="V75" s="14">
        <f>57850-2040</f>
        <v>55810</v>
      </c>
      <c r="W75" s="23">
        <f>40-5</f>
        <v>35</v>
      </c>
      <c r="X75" s="14">
        <v>2400</v>
      </c>
      <c r="Y75" s="14">
        <v>7560</v>
      </c>
      <c r="Z75" s="14">
        <f t="shared" si="17"/>
        <v>48260</v>
      </c>
      <c r="AA75" s="14">
        <f>45720+2540</f>
        <v>48260</v>
      </c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2000</v>
      </c>
      <c r="AO75" s="14">
        <v>50</v>
      </c>
      <c r="AP75" s="14"/>
      <c r="AQ75" s="14"/>
      <c r="AR75" s="14">
        <v>5000</v>
      </c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2"/>
    </row>
    <row r="76" spans="1:56" ht="38.25">
      <c r="A76" s="10">
        <v>301001</v>
      </c>
      <c r="B76" s="11" t="s">
        <v>138</v>
      </c>
      <c r="C76" s="12">
        <f t="shared" ref="C76:C82" si="22">D76+E76+F76</f>
        <v>1580</v>
      </c>
      <c r="D76" s="13">
        <f>1500+80</f>
        <v>1580</v>
      </c>
      <c r="E76" s="12"/>
      <c r="F76" s="12"/>
      <c r="G76" s="12">
        <f t="shared" si="18"/>
        <v>500</v>
      </c>
      <c r="H76" s="12">
        <v>500</v>
      </c>
      <c r="I76" s="12"/>
      <c r="J76" s="14">
        <f t="shared" si="15"/>
        <v>25749</v>
      </c>
      <c r="K76" s="14">
        <f t="shared" si="19"/>
        <v>9159</v>
      </c>
      <c r="L76" s="14">
        <f t="shared" si="20"/>
        <v>3782</v>
      </c>
      <c r="M76" s="14">
        <v>1664</v>
      </c>
      <c r="N76" s="14">
        <v>2118</v>
      </c>
      <c r="O76" s="14">
        <f t="shared" si="21"/>
        <v>5377</v>
      </c>
      <c r="P76" s="14">
        <v>4733</v>
      </c>
      <c r="Q76" s="14"/>
      <c r="R76" s="14">
        <v>607</v>
      </c>
      <c r="S76" s="14">
        <v>37</v>
      </c>
      <c r="T76" s="14"/>
      <c r="U76" s="14">
        <f t="shared" si="16"/>
        <v>16590</v>
      </c>
      <c r="V76" s="23">
        <f>16101-600+1089</f>
        <v>16590</v>
      </c>
      <c r="W76" s="14"/>
      <c r="X76" s="14"/>
      <c r="Y76" s="14">
        <v>4430</v>
      </c>
      <c r="Z76" s="14">
        <f t="shared" si="17"/>
        <v>18480</v>
      </c>
      <c r="AA76" s="23">
        <f>17510+970-1089</f>
        <v>17391</v>
      </c>
      <c r="AB76" s="14"/>
      <c r="AC76" s="14">
        <v>1089</v>
      </c>
      <c r="AD76" s="14"/>
      <c r="AE76" s="14"/>
      <c r="AF76" s="14"/>
      <c r="AG76" s="14">
        <f t="shared" ref="AG76:AG82" si="23">AH76+AI76+AJ76+AK76</f>
        <v>3606</v>
      </c>
      <c r="AH76" s="14">
        <v>621</v>
      </c>
      <c r="AI76" s="14">
        <v>824</v>
      </c>
      <c r="AJ76" s="14">
        <v>1725</v>
      </c>
      <c r="AK76" s="14">
        <v>436</v>
      </c>
      <c r="AL76" s="14"/>
      <c r="AM76" s="14"/>
      <c r="AN76" s="14">
        <v>100</v>
      </c>
      <c r="AO76" s="14">
        <v>200</v>
      </c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2">
        <v>3790</v>
      </c>
    </row>
    <row r="77" spans="1:56" ht="25.5">
      <c r="A77" s="10">
        <v>311001</v>
      </c>
      <c r="B77" s="11" t="s">
        <v>139</v>
      </c>
      <c r="C77" s="12">
        <f t="shared" si="22"/>
        <v>1900</v>
      </c>
      <c r="D77" s="12">
        <v>1900</v>
      </c>
      <c r="E77" s="12"/>
      <c r="F77" s="12"/>
      <c r="G77" s="12">
        <f t="shared" si="18"/>
        <v>1700</v>
      </c>
      <c r="H77" s="12">
        <v>1700</v>
      </c>
      <c r="I77" s="12"/>
      <c r="J77" s="14">
        <f t="shared" si="15"/>
        <v>46062</v>
      </c>
      <c r="K77" s="14">
        <f t="shared" si="19"/>
        <v>15892</v>
      </c>
      <c r="L77" s="14">
        <f t="shared" si="20"/>
        <v>7482</v>
      </c>
      <c r="M77" s="14">
        <v>3087</v>
      </c>
      <c r="N77" s="14">
        <v>4395</v>
      </c>
      <c r="O77" s="14">
        <f t="shared" si="21"/>
        <v>8410</v>
      </c>
      <c r="P77" s="14">
        <v>7510</v>
      </c>
      <c r="Q77" s="14"/>
      <c r="R77" s="14">
        <v>836</v>
      </c>
      <c r="S77" s="14">
        <v>64</v>
      </c>
      <c r="T77" s="14"/>
      <c r="U77" s="14">
        <f t="shared" si="16"/>
        <v>30170</v>
      </c>
      <c r="V77" s="23">
        <f>29522-1080+1728</f>
        <v>30170</v>
      </c>
      <c r="W77" s="14"/>
      <c r="X77" s="14"/>
      <c r="Y77" s="14">
        <v>7660</v>
      </c>
      <c r="Z77" s="14">
        <f t="shared" si="17"/>
        <v>32860</v>
      </c>
      <c r="AA77" s="23">
        <f>31130+1730-1728</f>
        <v>31132</v>
      </c>
      <c r="AB77" s="14"/>
      <c r="AC77" s="14">
        <v>1728</v>
      </c>
      <c r="AD77" s="14"/>
      <c r="AE77" s="14"/>
      <c r="AF77" s="14"/>
      <c r="AG77" s="14">
        <f t="shared" si="23"/>
        <v>5908</v>
      </c>
      <c r="AH77" s="14">
        <v>1017</v>
      </c>
      <c r="AI77" s="14">
        <v>1350</v>
      </c>
      <c r="AJ77" s="14">
        <v>2826</v>
      </c>
      <c r="AK77" s="14">
        <v>715</v>
      </c>
      <c r="AL77" s="14"/>
      <c r="AM77" s="14"/>
      <c r="AN77" s="14">
        <v>1000</v>
      </c>
      <c r="AO77" s="14">
        <v>100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2">
        <v>6450</v>
      </c>
    </row>
    <row r="78" spans="1:56" ht="25.5">
      <c r="A78" s="10">
        <v>321001</v>
      </c>
      <c r="B78" s="11" t="s">
        <v>140</v>
      </c>
      <c r="C78" s="12">
        <f t="shared" si="22"/>
        <v>2300</v>
      </c>
      <c r="D78" s="13">
        <f>2400-100</f>
        <v>2300</v>
      </c>
      <c r="E78" s="12"/>
      <c r="F78" s="12"/>
      <c r="G78" s="12">
        <f t="shared" si="18"/>
        <v>1800</v>
      </c>
      <c r="H78" s="13">
        <f>2000-200</f>
        <v>1800</v>
      </c>
      <c r="I78" s="12"/>
      <c r="J78" s="14">
        <f t="shared" si="15"/>
        <v>117842</v>
      </c>
      <c r="K78" s="14">
        <f t="shared" si="19"/>
        <v>41052</v>
      </c>
      <c r="L78" s="14">
        <f t="shared" si="20"/>
        <v>19411</v>
      </c>
      <c r="M78" s="14">
        <v>8033</v>
      </c>
      <c r="N78" s="14">
        <v>11378</v>
      </c>
      <c r="O78" s="14">
        <f t="shared" si="21"/>
        <v>21641</v>
      </c>
      <c r="P78" s="14">
        <v>18626</v>
      </c>
      <c r="Q78" s="14"/>
      <c r="R78" s="14">
        <v>2815</v>
      </c>
      <c r="S78" s="14">
        <v>152</v>
      </c>
      <c r="T78" s="14">
        <v>48</v>
      </c>
      <c r="U78" s="14">
        <f t="shared" si="16"/>
        <v>76790</v>
      </c>
      <c r="V78" s="23">
        <f>75254-2900+4286</f>
        <v>76640</v>
      </c>
      <c r="W78" s="14">
        <v>150</v>
      </c>
      <c r="X78" s="14"/>
      <c r="Y78" s="14">
        <v>19350</v>
      </c>
      <c r="Z78" s="14">
        <f t="shared" si="17"/>
        <v>83370</v>
      </c>
      <c r="AA78" s="23">
        <f>78980+4390-4286</f>
        <v>79084</v>
      </c>
      <c r="AB78" s="14"/>
      <c r="AC78" s="14">
        <v>4286</v>
      </c>
      <c r="AD78" s="14"/>
      <c r="AE78" s="14"/>
      <c r="AF78" s="14"/>
      <c r="AG78" s="14">
        <f t="shared" si="23"/>
        <v>14804</v>
      </c>
      <c r="AH78" s="14">
        <v>2548</v>
      </c>
      <c r="AI78" s="14">
        <v>3382</v>
      </c>
      <c r="AJ78" s="14">
        <v>7082</v>
      </c>
      <c r="AK78" s="14">
        <v>1792</v>
      </c>
      <c r="AL78" s="14"/>
      <c r="AM78" s="14"/>
      <c r="AN78" s="14">
        <v>1500</v>
      </c>
      <c r="AO78" s="14">
        <v>700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2">
        <v>15850</v>
      </c>
    </row>
    <row r="79" spans="1:56" ht="25.5">
      <c r="A79" s="10">
        <v>331001</v>
      </c>
      <c r="B79" s="11" t="s">
        <v>141</v>
      </c>
      <c r="C79" s="12">
        <f t="shared" si="22"/>
        <v>1200</v>
      </c>
      <c r="D79" s="12">
        <v>1200</v>
      </c>
      <c r="E79" s="12"/>
      <c r="F79" s="12"/>
      <c r="G79" s="12">
        <f t="shared" si="18"/>
        <v>1070</v>
      </c>
      <c r="H79" s="13">
        <f>1000+70</f>
        <v>1070</v>
      </c>
      <c r="I79" s="12"/>
      <c r="J79" s="14">
        <f t="shared" si="15"/>
        <v>26280</v>
      </c>
      <c r="K79" s="14">
        <f t="shared" si="19"/>
        <v>9560</v>
      </c>
      <c r="L79" s="14">
        <f t="shared" si="20"/>
        <v>3792</v>
      </c>
      <c r="M79" s="14">
        <v>1724</v>
      </c>
      <c r="N79" s="14">
        <v>2068</v>
      </c>
      <c r="O79" s="14">
        <f t="shared" si="21"/>
        <v>5768</v>
      </c>
      <c r="P79" s="14">
        <v>4905</v>
      </c>
      <c r="Q79" s="14"/>
      <c r="R79" s="14">
        <v>815</v>
      </c>
      <c r="S79" s="14">
        <v>48</v>
      </c>
      <c r="T79" s="14"/>
      <c r="U79" s="14">
        <f t="shared" si="16"/>
        <v>16720</v>
      </c>
      <c r="V79" s="23">
        <f>16191-600+1129</f>
        <v>16720</v>
      </c>
      <c r="W79" s="14"/>
      <c r="X79" s="14"/>
      <c r="Y79" s="14">
        <v>4530</v>
      </c>
      <c r="Z79" s="14">
        <f t="shared" si="17"/>
        <v>18750</v>
      </c>
      <c r="AA79" s="23">
        <f>17760+990-1129</f>
        <v>17621</v>
      </c>
      <c r="AB79" s="14"/>
      <c r="AC79" s="14">
        <v>1129</v>
      </c>
      <c r="AD79" s="14"/>
      <c r="AE79" s="14"/>
      <c r="AF79" s="14"/>
      <c r="AG79" s="14">
        <f t="shared" si="23"/>
        <v>3737</v>
      </c>
      <c r="AH79" s="14">
        <v>643</v>
      </c>
      <c r="AI79" s="14">
        <v>854</v>
      </c>
      <c r="AJ79" s="14">
        <v>1788</v>
      </c>
      <c r="AK79" s="14">
        <v>452</v>
      </c>
      <c r="AL79" s="14"/>
      <c r="AM79" s="14"/>
      <c r="AN79" s="14">
        <v>500</v>
      </c>
      <c r="AO79" s="14">
        <v>200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2">
        <v>3910</v>
      </c>
    </row>
    <row r="80" spans="1:56" ht="38.25">
      <c r="A80" s="10">
        <v>341001</v>
      </c>
      <c r="B80" s="11" t="s">
        <v>142</v>
      </c>
      <c r="C80" s="12">
        <f t="shared" si="22"/>
        <v>2200</v>
      </c>
      <c r="D80" s="12">
        <v>2200</v>
      </c>
      <c r="E80" s="12"/>
      <c r="F80" s="12"/>
      <c r="G80" s="12">
        <f t="shared" si="18"/>
        <v>1500</v>
      </c>
      <c r="H80" s="12">
        <v>1500</v>
      </c>
      <c r="I80" s="12"/>
      <c r="J80" s="14">
        <f t="shared" si="15"/>
        <v>48845</v>
      </c>
      <c r="K80" s="14">
        <f t="shared" si="19"/>
        <v>17285</v>
      </c>
      <c r="L80" s="14">
        <f t="shared" si="20"/>
        <v>7641</v>
      </c>
      <c r="M80" s="14">
        <v>3330</v>
      </c>
      <c r="N80" s="14">
        <v>4311</v>
      </c>
      <c r="O80" s="14">
        <f t="shared" si="21"/>
        <v>9644</v>
      </c>
      <c r="P80" s="14">
        <v>8260</v>
      </c>
      <c r="Q80" s="14"/>
      <c r="R80" s="14">
        <v>1258</v>
      </c>
      <c r="S80" s="14">
        <v>57</v>
      </c>
      <c r="T80" s="14">
        <v>69</v>
      </c>
      <c r="U80" s="14">
        <f t="shared" si="16"/>
        <v>31560</v>
      </c>
      <c r="V80" s="23">
        <f>30789-1280+1901</f>
        <v>31410</v>
      </c>
      <c r="W80" s="14">
        <v>150</v>
      </c>
      <c r="X80" s="14"/>
      <c r="Y80" s="14">
        <v>8190</v>
      </c>
      <c r="Z80" s="14">
        <f t="shared" si="17"/>
        <v>34700</v>
      </c>
      <c r="AA80" s="23">
        <f>32870+1830-1901</f>
        <v>32799</v>
      </c>
      <c r="AB80" s="14"/>
      <c r="AC80" s="14">
        <v>1901</v>
      </c>
      <c r="AD80" s="14"/>
      <c r="AE80" s="14"/>
      <c r="AF80" s="14"/>
      <c r="AG80" s="14">
        <f t="shared" si="23"/>
        <v>6470</v>
      </c>
      <c r="AH80" s="14">
        <v>1114</v>
      </c>
      <c r="AI80" s="14">
        <v>1478</v>
      </c>
      <c r="AJ80" s="14">
        <v>3095</v>
      </c>
      <c r="AK80" s="14">
        <v>783</v>
      </c>
      <c r="AL80" s="14"/>
      <c r="AM80" s="14"/>
      <c r="AN80" s="14">
        <v>1000</v>
      </c>
      <c r="AO80" s="14">
        <v>200</v>
      </c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2">
        <v>6830</v>
      </c>
    </row>
    <row r="81" spans="1:56" ht="38.25">
      <c r="A81" s="10">
        <v>351001</v>
      </c>
      <c r="B81" s="11" t="s">
        <v>143</v>
      </c>
      <c r="C81" s="12">
        <f t="shared" si="22"/>
        <v>2600</v>
      </c>
      <c r="D81" s="12">
        <v>2600</v>
      </c>
      <c r="E81" s="12"/>
      <c r="F81" s="12"/>
      <c r="G81" s="12">
        <f t="shared" si="18"/>
        <v>1500</v>
      </c>
      <c r="H81" s="12">
        <v>1500</v>
      </c>
      <c r="I81" s="12"/>
      <c r="J81" s="14">
        <f t="shared" si="15"/>
        <v>49962</v>
      </c>
      <c r="K81" s="14">
        <f t="shared" si="19"/>
        <v>17652</v>
      </c>
      <c r="L81" s="14">
        <f t="shared" si="20"/>
        <v>7394</v>
      </c>
      <c r="M81" s="14">
        <v>3318</v>
      </c>
      <c r="N81" s="14">
        <v>4076</v>
      </c>
      <c r="O81" s="14">
        <f t="shared" si="21"/>
        <v>10258</v>
      </c>
      <c r="P81" s="14">
        <v>9211</v>
      </c>
      <c r="Q81" s="14"/>
      <c r="R81" s="14">
        <v>926</v>
      </c>
      <c r="S81" s="14">
        <v>121</v>
      </c>
      <c r="T81" s="14"/>
      <c r="U81" s="14">
        <f t="shared" si="16"/>
        <v>32310</v>
      </c>
      <c r="V81" s="23">
        <f>31340-1250+2120</f>
        <v>32210</v>
      </c>
      <c r="W81" s="14">
        <v>100</v>
      </c>
      <c r="X81" s="14"/>
      <c r="Y81" s="14">
        <v>8640</v>
      </c>
      <c r="Z81" s="14">
        <f t="shared" si="17"/>
        <v>36020</v>
      </c>
      <c r="AA81" s="23">
        <f>34120+1900-2120</f>
        <v>33900</v>
      </c>
      <c r="AB81" s="14"/>
      <c r="AC81" s="14">
        <v>2120</v>
      </c>
      <c r="AD81" s="14"/>
      <c r="AE81" s="14"/>
      <c r="AF81" s="14"/>
      <c r="AG81" s="14">
        <f t="shared" si="23"/>
        <v>7051</v>
      </c>
      <c r="AH81" s="14">
        <v>1214</v>
      </c>
      <c r="AI81" s="14">
        <v>1611</v>
      </c>
      <c r="AJ81" s="14">
        <v>3373</v>
      </c>
      <c r="AK81" s="14">
        <v>853</v>
      </c>
      <c r="AL81" s="14"/>
      <c r="AM81" s="14"/>
      <c r="AN81" s="14">
        <v>1000</v>
      </c>
      <c r="AO81" s="14">
        <v>400</v>
      </c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2">
        <v>7380</v>
      </c>
    </row>
    <row r="82" spans="1:56" ht="25.5">
      <c r="A82" s="10">
        <v>361001</v>
      </c>
      <c r="B82" s="11" t="s">
        <v>144</v>
      </c>
      <c r="C82" s="12">
        <f t="shared" si="22"/>
        <v>3660</v>
      </c>
      <c r="D82" s="13">
        <f>3700-40</f>
        <v>3660</v>
      </c>
      <c r="E82" s="12"/>
      <c r="F82" s="12"/>
      <c r="G82" s="12">
        <f t="shared" si="18"/>
        <v>1100</v>
      </c>
      <c r="H82" s="12">
        <v>1100</v>
      </c>
      <c r="I82" s="12"/>
      <c r="J82" s="14">
        <f t="shared" si="15"/>
        <v>69215</v>
      </c>
      <c r="K82" s="14">
        <f t="shared" si="19"/>
        <v>24685</v>
      </c>
      <c r="L82" s="14">
        <f t="shared" si="20"/>
        <v>10518</v>
      </c>
      <c r="M82" s="14">
        <v>4695</v>
      </c>
      <c r="N82" s="14">
        <v>5823</v>
      </c>
      <c r="O82" s="14">
        <f t="shared" si="21"/>
        <v>14167</v>
      </c>
      <c r="P82" s="14">
        <v>12315</v>
      </c>
      <c r="Q82" s="14"/>
      <c r="R82" s="14">
        <v>1707</v>
      </c>
      <c r="S82" s="14">
        <v>70</v>
      </c>
      <c r="T82" s="14">
        <v>75</v>
      </c>
      <c r="U82" s="14">
        <f t="shared" si="16"/>
        <v>44530</v>
      </c>
      <c r="V82" s="23">
        <f>43286-1590+2834</f>
        <v>44530</v>
      </c>
      <c r="W82" s="14"/>
      <c r="X82" s="14"/>
      <c r="Y82" s="14">
        <v>11800</v>
      </c>
      <c r="Z82" s="14">
        <f t="shared" si="17"/>
        <v>49430</v>
      </c>
      <c r="AA82" s="23">
        <f>46830+2600-2834</f>
        <v>46596</v>
      </c>
      <c r="AB82" s="14"/>
      <c r="AC82" s="14">
        <v>2834</v>
      </c>
      <c r="AD82" s="14"/>
      <c r="AE82" s="14"/>
      <c r="AF82" s="14"/>
      <c r="AG82" s="14">
        <f t="shared" si="23"/>
        <v>9534</v>
      </c>
      <c r="AH82" s="14">
        <v>1641</v>
      </c>
      <c r="AI82" s="14">
        <v>2178</v>
      </c>
      <c r="AJ82" s="14">
        <v>4561</v>
      </c>
      <c r="AK82" s="14">
        <v>1154</v>
      </c>
      <c r="AL82" s="14"/>
      <c r="AM82" s="14"/>
      <c r="AN82" s="14">
        <v>1000</v>
      </c>
      <c r="AO82" s="14">
        <v>800</v>
      </c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2">
        <v>10110</v>
      </c>
    </row>
    <row r="83" spans="1:56" ht="25.5">
      <c r="A83" s="10">
        <v>365301</v>
      </c>
      <c r="B83" s="11" t="s">
        <v>145</v>
      </c>
      <c r="C83" s="12"/>
      <c r="D83" s="12"/>
      <c r="E83" s="12"/>
      <c r="F83" s="12"/>
      <c r="G83" s="12"/>
      <c r="H83" s="12"/>
      <c r="I83" s="12"/>
      <c r="J83" s="14">
        <f t="shared" si="15"/>
        <v>16410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>
        <f t="shared" si="16"/>
        <v>16410</v>
      </c>
      <c r="V83" s="14">
        <v>16410</v>
      </c>
      <c r="W83" s="14"/>
      <c r="X83" s="14"/>
      <c r="Y83" s="14">
        <v>2780</v>
      </c>
      <c r="Z83" s="14">
        <f t="shared" si="17"/>
        <v>3700</v>
      </c>
      <c r="AA83" s="14">
        <v>3700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2"/>
    </row>
    <row r="84" spans="1:56" ht="25.5">
      <c r="A84" s="10">
        <v>371001</v>
      </c>
      <c r="B84" s="11" t="s">
        <v>146</v>
      </c>
      <c r="C84" s="12">
        <f>D84+E84+F84</f>
        <v>2100</v>
      </c>
      <c r="D84" s="13">
        <f>2200-100</f>
        <v>2100</v>
      </c>
      <c r="E84" s="12"/>
      <c r="F84" s="12"/>
      <c r="G84" s="12">
        <f>H84+I84</f>
        <v>1100</v>
      </c>
      <c r="H84" s="13">
        <f>1200-100</f>
        <v>1100</v>
      </c>
      <c r="I84" s="12"/>
      <c r="J84" s="14">
        <f t="shared" si="15"/>
        <v>58583</v>
      </c>
      <c r="K84" s="14">
        <f>L84+O84</f>
        <v>20553</v>
      </c>
      <c r="L84" s="14">
        <f>M84+N84</f>
        <v>9374</v>
      </c>
      <c r="M84" s="14">
        <v>3910</v>
      </c>
      <c r="N84" s="14">
        <v>5464</v>
      </c>
      <c r="O84" s="14">
        <f>P84+R84+S84+T84</f>
        <v>11179</v>
      </c>
      <c r="P84" s="14">
        <v>9598</v>
      </c>
      <c r="Q84" s="14"/>
      <c r="R84" s="14">
        <v>1372</v>
      </c>
      <c r="S84" s="14">
        <v>181</v>
      </c>
      <c r="T84" s="14">
        <v>28</v>
      </c>
      <c r="U84" s="14">
        <f t="shared" si="16"/>
        <v>38030</v>
      </c>
      <c r="V84" s="23">
        <f>37181-1360+2209</f>
        <v>38030</v>
      </c>
      <c r="W84" s="14"/>
      <c r="X84" s="14"/>
      <c r="Y84" s="14">
        <v>9710</v>
      </c>
      <c r="Z84" s="14">
        <f t="shared" si="17"/>
        <v>41520</v>
      </c>
      <c r="AA84" s="23">
        <f>39330+2190-2209</f>
        <v>39311</v>
      </c>
      <c r="AB84" s="14"/>
      <c r="AC84" s="14">
        <v>2209</v>
      </c>
      <c r="AD84" s="14"/>
      <c r="AE84" s="14"/>
      <c r="AF84" s="14"/>
      <c r="AG84" s="14">
        <f>AH84+AI84+AJ84+AK84</f>
        <v>7534</v>
      </c>
      <c r="AH84" s="14">
        <v>1297</v>
      </c>
      <c r="AI84" s="14">
        <v>1721</v>
      </c>
      <c r="AJ84" s="14">
        <v>3604</v>
      </c>
      <c r="AK84" s="14">
        <v>912</v>
      </c>
      <c r="AL84" s="14"/>
      <c r="AM84" s="14"/>
      <c r="AN84" s="14">
        <v>100</v>
      </c>
      <c r="AO84" s="14">
        <v>100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2">
        <v>8280</v>
      </c>
    </row>
    <row r="85" spans="1:56" ht="25.5">
      <c r="A85" s="10">
        <v>381001</v>
      </c>
      <c r="B85" s="11" t="s">
        <v>147</v>
      </c>
      <c r="C85" s="12">
        <f>D85+E85+F85</f>
        <v>5100</v>
      </c>
      <c r="D85" s="12">
        <v>5100</v>
      </c>
      <c r="E85" s="12"/>
      <c r="F85" s="12"/>
      <c r="G85" s="12">
        <f>H85+I85</f>
        <v>2075</v>
      </c>
      <c r="H85" s="12">
        <v>2075</v>
      </c>
      <c r="I85" s="12"/>
      <c r="J85" s="14">
        <f t="shared" si="15"/>
        <v>104146</v>
      </c>
      <c r="K85" s="14">
        <f>L85+O85</f>
        <v>35846</v>
      </c>
      <c r="L85" s="14">
        <f>M85+N85</f>
        <v>16427</v>
      </c>
      <c r="M85" s="14">
        <v>7180</v>
      </c>
      <c r="N85" s="14">
        <v>9247</v>
      </c>
      <c r="O85" s="14">
        <f>P85+R85+S85+T85</f>
        <v>19419</v>
      </c>
      <c r="P85" s="14">
        <v>17163</v>
      </c>
      <c r="Q85" s="14"/>
      <c r="R85" s="14">
        <v>2059</v>
      </c>
      <c r="S85" s="14">
        <v>112</v>
      </c>
      <c r="T85" s="14">
        <v>85</v>
      </c>
      <c r="U85" s="14">
        <f t="shared" si="16"/>
        <v>68300</v>
      </c>
      <c r="V85" s="23">
        <f>66730-2510+3950</f>
        <v>68170</v>
      </c>
      <c r="W85" s="14">
        <v>130</v>
      </c>
      <c r="X85" s="14"/>
      <c r="Y85" s="14">
        <v>17200</v>
      </c>
      <c r="Z85" s="14">
        <f t="shared" si="17"/>
        <v>75880</v>
      </c>
      <c r="AA85" s="23">
        <f>68030+3850-3950</f>
        <v>67930</v>
      </c>
      <c r="AB85" s="14">
        <v>4000</v>
      </c>
      <c r="AC85" s="14">
        <v>3950</v>
      </c>
      <c r="AD85" s="14"/>
      <c r="AE85" s="14"/>
      <c r="AF85" s="14"/>
      <c r="AG85" s="14">
        <f>AH85+AI85+AJ85+AK85</f>
        <v>13550</v>
      </c>
      <c r="AH85" s="14">
        <v>2332</v>
      </c>
      <c r="AI85" s="14">
        <v>3096</v>
      </c>
      <c r="AJ85" s="14">
        <v>6482</v>
      </c>
      <c r="AK85" s="14">
        <v>1640</v>
      </c>
      <c r="AL85" s="14">
        <v>5000</v>
      </c>
      <c r="AM85" s="14"/>
      <c r="AN85" s="14">
        <v>1500</v>
      </c>
      <c r="AO85" s="14">
        <v>2000</v>
      </c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2">
        <v>14590</v>
      </c>
    </row>
    <row r="86" spans="1:56" ht="25.5">
      <c r="A86" s="10">
        <v>391001</v>
      </c>
      <c r="B86" s="11" t="s">
        <v>148</v>
      </c>
      <c r="C86" s="12">
        <f>D86+E86+F86</f>
        <v>5400</v>
      </c>
      <c r="D86" s="12">
        <v>5400</v>
      </c>
      <c r="E86" s="12"/>
      <c r="F86" s="12"/>
      <c r="G86" s="12">
        <f>H86+I86</f>
        <v>3080</v>
      </c>
      <c r="H86" s="12">
        <v>3080</v>
      </c>
      <c r="I86" s="12"/>
      <c r="J86" s="14">
        <f t="shared" si="15"/>
        <v>95146</v>
      </c>
      <c r="K86" s="14">
        <f>L86+O86</f>
        <v>39666</v>
      </c>
      <c r="L86" s="14">
        <f>M86+N86</f>
        <v>10074</v>
      </c>
      <c r="M86" s="14">
        <v>10074</v>
      </c>
      <c r="N86" s="14"/>
      <c r="O86" s="14">
        <f>P86+R86+S86+T86</f>
        <v>29592</v>
      </c>
      <c r="P86" s="14">
        <v>26005</v>
      </c>
      <c r="Q86" s="14"/>
      <c r="R86" s="14">
        <v>3587</v>
      </c>
      <c r="S86" s="14"/>
      <c r="T86" s="14"/>
      <c r="U86" s="14">
        <f t="shared" si="16"/>
        <v>55480</v>
      </c>
      <c r="V86" s="23">
        <f>50235-2490+5985</f>
        <v>53730</v>
      </c>
      <c r="W86" s="14">
        <v>550</v>
      </c>
      <c r="X86" s="14">
        <v>1200</v>
      </c>
      <c r="Y86" s="14">
        <v>19560</v>
      </c>
      <c r="Z86" s="14">
        <f t="shared" si="17"/>
        <v>70340</v>
      </c>
      <c r="AA86" s="23">
        <f>66410+3690-5985</f>
        <v>64115</v>
      </c>
      <c r="AB86" s="14"/>
      <c r="AC86" s="14">
        <v>5985</v>
      </c>
      <c r="AD86" s="14">
        <v>240</v>
      </c>
      <c r="AE86" s="14"/>
      <c r="AF86" s="14"/>
      <c r="AG86" s="14">
        <f>AH86+AI86+AJ86+AK86</f>
        <v>20198</v>
      </c>
      <c r="AH86" s="14">
        <v>3477</v>
      </c>
      <c r="AI86" s="14">
        <v>4615</v>
      </c>
      <c r="AJ86" s="14">
        <v>9662</v>
      </c>
      <c r="AK86" s="14">
        <v>2444</v>
      </c>
      <c r="AL86" s="14">
        <v>3700</v>
      </c>
      <c r="AM86" s="14"/>
      <c r="AN86" s="14">
        <v>2500</v>
      </c>
      <c r="AO86" s="14">
        <v>1000</v>
      </c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2"/>
    </row>
    <row r="87" spans="1:56" ht="25.5">
      <c r="A87" s="10">
        <v>391002</v>
      </c>
      <c r="B87" s="11" t="s">
        <v>149</v>
      </c>
      <c r="C87" s="12">
        <f>D87+E87+F87</f>
        <v>9200</v>
      </c>
      <c r="D87" s="12">
        <v>9200</v>
      </c>
      <c r="E87" s="12"/>
      <c r="F87" s="12"/>
      <c r="G87" s="12">
        <f>H87+I87</f>
        <v>3800</v>
      </c>
      <c r="H87" s="12">
        <v>3800</v>
      </c>
      <c r="I87" s="12"/>
      <c r="J87" s="14">
        <f t="shared" si="15"/>
        <v>75486</v>
      </c>
      <c r="K87" s="14">
        <f>L87+O87</f>
        <v>25326</v>
      </c>
      <c r="L87" s="14">
        <f>M87+N87</f>
        <v>6184</v>
      </c>
      <c r="M87" s="14">
        <v>6184</v>
      </c>
      <c r="N87" s="14"/>
      <c r="O87" s="14">
        <f>P87+R87+S87+T87</f>
        <v>19142</v>
      </c>
      <c r="P87" s="14">
        <v>17309</v>
      </c>
      <c r="Q87" s="14"/>
      <c r="R87" s="14">
        <v>1833</v>
      </c>
      <c r="S87" s="14"/>
      <c r="T87" s="14"/>
      <c r="U87" s="14">
        <f t="shared" si="16"/>
        <v>50160</v>
      </c>
      <c r="V87" s="23">
        <f>47447-1270+3983</f>
        <v>50160</v>
      </c>
      <c r="W87" s="14"/>
      <c r="X87" s="14"/>
      <c r="Y87" s="14">
        <v>27380</v>
      </c>
      <c r="Z87" s="14">
        <f t="shared" si="17"/>
        <v>73330</v>
      </c>
      <c r="AA87" s="23">
        <f>66910+2420-3983</f>
        <v>65347</v>
      </c>
      <c r="AB87" s="14">
        <v>4000</v>
      </c>
      <c r="AC87" s="14">
        <v>3983</v>
      </c>
      <c r="AD87" s="14"/>
      <c r="AE87" s="14"/>
      <c r="AF87" s="14"/>
      <c r="AG87" s="14">
        <f>AH87+AI87+AJ87+AK87</f>
        <v>13229</v>
      </c>
      <c r="AH87" s="14">
        <v>2277</v>
      </c>
      <c r="AI87" s="14">
        <v>3022</v>
      </c>
      <c r="AJ87" s="14">
        <v>6329</v>
      </c>
      <c r="AK87" s="14">
        <v>1601</v>
      </c>
      <c r="AL87" s="14">
        <v>4380</v>
      </c>
      <c r="AM87" s="14">
        <v>1750</v>
      </c>
      <c r="AN87" s="14">
        <v>2500</v>
      </c>
      <c r="AO87" s="14">
        <v>1500</v>
      </c>
      <c r="AP87" s="14"/>
      <c r="AQ87" s="14"/>
      <c r="AR87" s="14">
        <v>5000</v>
      </c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2"/>
    </row>
    <row r="88" spans="1:56" ht="25.5">
      <c r="A88" s="10">
        <v>391003</v>
      </c>
      <c r="B88" s="11" t="s">
        <v>150</v>
      </c>
      <c r="C88" s="12">
        <f>D88+E88+F88</f>
        <v>3300</v>
      </c>
      <c r="D88" s="12">
        <v>3300</v>
      </c>
      <c r="E88" s="12"/>
      <c r="F88" s="12"/>
      <c r="G88" s="12">
        <f>H88+I88</f>
        <v>1400</v>
      </c>
      <c r="H88" s="12">
        <v>1400</v>
      </c>
      <c r="I88" s="12"/>
      <c r="J88" s="14">
        <f t="shared" si="15"/>
        <v>94102</v>
      </c>
      <c r="K88" s="14">
        <f>L88+O88</f>
        <v>22422</v>
      </c>
      <c r="L88" s="14">
        <f>M88+N88</f>
        <v>21942</v>
      </c>
      <c r="M88" s="14"/>
      <c r="N88" s="14">
        <v>21942</v>
      </c>
      <c r="O88" s="14">
        <f>P88+R88+S88+T88</f>
        <v>480</v>
      </c>
      <c r="P88" s="14"/>
      <c r="Q88" s="14"/>
      <c r="R88" s="14"/>
      <c r="S88" s="14">
        <v>258</v>
      </c>
      <c r="T88" s="14">
        <v>222</v>
      </c>
      <c r="U88" s="14">
        <f t="shared" si="16"/>
        <v>71680</v>
      </c>
      <c r="V88" s="14">
        <f>74250-2570</f>
        <v>71680</v>
      </c>
      <c r="W88" s="14"/>
      <c r="X88" s="14"/>
      <c r="Y88" s="14">
        <v>9700</v>
      </c>
      <c r="Z88" s="14">
        <f t="shared" si="17"/>
        <v>61940</v>
      </c>
      <c r="AA88" s="14">
        <f>58680+3260</f>
        <v>61940</v>
      </c>
      <c r="AB88" s="14"/>
      <c r="AC88" s="14"/>
      <c r="AD88" s="14"/>
      <c r="AE88" s="14"/>
      <c r="AF88" s="14">
        <v>1000</v>
      </c>
      <c r="AG88" s="14"/>
      <c r="AH88" s="14"/>
      <c r="AI88" s="14"/>
      <c r="AJ88" s="14"/>
      <c r="AK88" s="14"/>
      <c r="AL88" s="14">
        <v>500</v>
      </c>
      <c r="AM88" s="14"/>
      <c r="AN88" s="14">
        <v>500</v>
      </c>
      <c r="AO88" s="14">
        <v>100</v>
      </c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2"/>
    </row>
    <row r="89" spans="1:56" ht="25.5">
      <c r="A89" s="10">
        <v>395301</v>
      </c>
      <c r="B89" s="11" t="s">
        <v>151</v>
      </c>
      <c r="C89" s="12"/>
      <c r="D89" s="12"/>
      <c r="E89" s="12"/>
      <c r="F89" s="12"/>
      <c r="G89" s="12"/>
      <c r="H89" s="12"/>
      <c r="I89" s="12"/>
      <c r="J89" s="14">
        <f t="shared" si="15"/>
        <v>50230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>
        <f t="shared" si="16"/>
        <v>50230</v>
      </c>
      <c r="V89" s="14">
        <v>50230</v>
      </c>
      <c r="W89" s="14"/>
      <c r="X89" s="14"/>
      <c r="Y89" s="14">
        <v>6120</v>
      </c>
      <c r="Z89" s="14">
        <f t="shared" si="17"/>
        <v>12120</v>
      </c>
      <c r="AA89" s="14">
        <v>12120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2"/>
    </row>
    <row r="90" spans="1:56" ht="25.5">
      <c r="A90" s="10">
        <v>401001</v>
      </c>
      <c r="B90" s="11" t="s">
        <v>152</v>
      </c>
      <c r="C90" s="12">
        <f>D90+E90+F90</f>
        <v>1700</v>
      </c>
      <c r="D90" s="12">
        <v>1700</v>
      </c>
      <c r="E90" s="12"/>
      <c r="F90" s="12"/>
      <c r="G90" s="12">
        <f>H90+I90</f>
        <v>1000</v>
      </c>
      <c r="H90" s="12">
        <v>1000</v>
      </c>
      <c r="I90" s="12"/>
      <c r="J90" s="14">
        <f t="shared" si="15"/>
        <v>24910</v>
      </c>
      <c r="K90" s="14">
        <f>L90+O90</f>
        <v>8900</v>
      </c>
      <c r="L90" s="14">
        <f>M90+N90</f>
        <v>3598</v>
      </c>
      <c r="M90" s="14">
        <v>1638</v>
      </c>
      <c r="N90" s="14">
        <v>1960</v>
      </c>
      <c r="O90" s="14">
        <f>P90+R90+S90+T90</f>
        <v>5302</v>
      </c>
      <c r="P90" s="14">
        <v>4709</v>
      </c>
      <c r="Q90" s="14"/>
      <c r="R90" s="14">
        <v>559</v>
      </c>
      <c r="S90" s="14">
        <v>34</v>
      </c>
      <c r="T90" s="14"/>
      <c r="U90" s="14">
        <f t="shared" si="16"/>
        <v>16010</v>
      </c>
      <c r="V90" s="23">
        <f>15496-570+1084</f>
        <v>16010</v>
      </c>
      <c r="W90" s="14"/>
      <c r="X90" s="14"/>
      <c r="Y90" s="14">
        <v>4330</v>
      </c>
      <c r="Z90" s="14">
        <f t="shared" si="17"/>
        <v>17950</v>
      </c>
      <c r="AA90" s="23">
        <f>17000+950-1084</f>
        <v>16866</v>
      </c>
      <c r="AB90" s="14"/>
      <c r="AC90" s="14">
        <v>1084</v>
      </c>
      <c r="AD90" s="14"/>
      <c r="AE90" s="14"/>
      <c r="AF90" s="14"/>
      <c r="AG90" s="14">
        <f>AH90+AI90+AJ90+AK90</f>
        <v>3580</v>
      </c>
      <c r="AH90" s="14">
        <v>616</v>
      </c>
      <c r="AI90" s="14">
        <v>818</v>
      </c>
      <c r="AJ90" s="14">
        <v>1713</v>
      </c>
      <c r="AK90" s="14">
        <v>433</v>
      </c>
      <c r="AL90" s="14"/>
      <c r="AM90" s="14"/>
      <c r="AN90" s="14">
        <v>100</v>
      </c>
      <c r="AO90" s="14">
        <v>250</v>
      </c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2">
        <v>3710</v>
      </c>
    </row>
    <row r="91" spans="1:56" ht="38.25">
      <c r="A91" s="10">
        <v>411001</v>
      </c>
      <c r="B91" s="11" t="s">
        <v>153</v>
      </c>
      <c r="C91" s="12">
        <f>D91+E91+F91</f>
        <v>1440</v>
      </c>
      <c r="D91" s="13">
        <f>1400+40</f>
        <v>1440</v>
      </c>
      <c r="E91" s="12"/>
      <c r="F91" s="12"/>
      <c r="G91" s="12">
        <f>H91+I91</f>
        <v>2080</v>
      </c>
      <c r="H91" s="13">
        <f>2000+80</f>
        <v>2080</v>
      </c>
      <c r="I91" s="12"/>
      <c r="J91" s="14">
        <f t="shared" si="15"/>
        <v>29259</v>
      </c>
      <c r="K91" s="14">
        <f>L91+O91</f>
        <v>10519</v>
      </c>
      <c r="L91" s="14">
        <f>M91+N91</f>
        <v>4469</v>
      </c>
      <c r="M91" s="14">
        <v>1887</v>
      </c>
      <c r="N91" s="14">
        <v>2582</v>
      </c>
      <c r="O91" s="14">
        <f>P91+R91+S91+T91</f>
        <v>6050</v>
      </c>
      <c r="P91" s="14">
        <v>4932</v>
      </c>
      <c r="Q91" s="14"/>
      <c r="R91" s="14">
        <v>1087</v>
      </c>
      <c r="S91" s="14">
        <v>31</v>
      </c>
      <c r="T91" s="14"/>
      <c r="U91" s="14">
        <f t="shared" si="16"/>
        <v>18740</v>
      </c>
      <c r="V91" s="23">
        <f>18275-850+1135</f>
        <v>18560</v>
      </c>
      <c r="W91" s="14">
        <v>180</v>
      </c>
      <c r="X91" s="14"/>
      <c r="Y91" s="14">
        <v>4850</v>
      </c>
      <c r="Z91" s="14">
        <f t="shared" si="17"/>
        <v>20580</v>
      </c>
      <c r="AA91" s="23">
        <f>19500+1080-1135</f>
        <v>19445</v>
      </c>
      <c r="AB91" s="14"/>
      <c r="AC91" s="14">
        <v>1135</v>
      </c>
      <c r="AD91" s="14"/>
      <c r="AE91" s="14"/>
      <c r="AF91" s="14"/>
      <c r="AG91" s="14">
        <f>AH91+AI91+AJ91+AK91</f>
        <v>3821</v>
      </c>
      <c r="AH91" s="14">
        <v>658</v>
      </c>
      <c r="AI91" s="14">
        <v>873</v>
      </c>
      <c r="AJ91" s="14">
        <v>1828</v>
      </c>
      <c r="AK91" s="14">
        <v>462</v>
      </c>
      <c r="AL91" s="14"/>
      <c r="AM91" s="14"/>
      <c r="AN91" s="14">
        <v>1000</v>
      </c>
      <c r="AO91" s="14">
        <v>500</v>
      </c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2">
        <v>4140</v>
      </c>
    </row>
    <row r="92" spans="1:56" ht="25.5">
      <c r="A92" s="10">
        <v>421001</v>
      </c>
      <c r="B92" s="11" t="s">
        <v>154</v>
      </c>
      <c r="C92" s="12">
        <f>D92+E92+F92</f>
        <v>2660</v>
      </c>
      <c r="D92" s="13">
        <f>2700-40</f>
        <v>2660</v>
      </c>
      <c r="E92" s="12"/>
      <c r="F92" s="12"/>
      <c r="G92" s="12">
        <f>H92+I92</f>
        <v>1730</v>
      </c>
      <c r="H92" s="13">
        <f>1800-70</f>
        <v>1730</v>
      </c>
      <c r="I92" s="12"/>
      <c r="J92" s="14">
        <f t="shared" si="15"/>
        <v>64279</v>
      </c>
      <c r="K92" s="14">
        <f>L92+O92</f>
        <v>22219</v>
      </c>
      <c r="L92" s="14">
        <f>M92+N92</f>
        <v>10785</v>
      </c>
      <c r="M92" s="14">
        <v>4511</v>
      </c>
      <c r="N92" s="14">
        <v>6274</v>
      </c>
      <c r="O92" s="14">
        <f>P92+R92+S92+T92</f>
        <v>11434</v>
      </c>
      <c r="P92" s="14">
        <v>10126</v>
      </c>
      <c r="Q92" s="14"/>
      <c r="R92" s="14">
        <v>1250</v>
      </c>
      <c r="S92" s="14">
        <v>58</v>
      </c>
      <c r="T92" s="14"/>
      <c r="U92" s="14">
        <f t="shared" si="16"/>
        <v>42060</v>
      </c>
      <c r="V92" s="23">
        <f>41240-1510+2330</f>
        <v>42060</v>
      </c>
      <c r="W92" s="14"/>
      <c r="X92" s="14"/>
      <c r="Y92" s="14">
        <v>10600</v>
      </c>
      <c r="Z92" s="14">
        <f t="shared" si="17"/>
        <v>45660</v>
      </c>
      <c r="AA92" s="23">
        <f>43260+2400-2330</f>
        <v>43330</v>
      </c>
      <c r="AB92" s="14"/>
      <c r="AC92" s="14">
        <v>2330</v>
      </c>
      <c r="AD92" s="14"/>
      <c r="AE92" s="14"/>
      <c r="AF92" s="14"/>
      <c r="AG92" s="14">
        <f>AH92+AI92+AJ92+AK92</f>
        <v>8108</v>
      </c>
      <c r="AH92" s="14">
        <v>1396</v>
      </c>
      <c r="AI92" s="14">
        <v>1852</v>
      </c>
      <c r="AJ92" s="14">
        <v>3879</v>
      </c>
      <c r="AK92" s="14">
        <v>981</v>
      </c>
      <c r="AL92" s="14">
        <v>1100</v>
      </c>
      <c r="AM92" s="14"/>
      <c r="AN92" s="14">
        <v>100</v>
      </c>
      <c r="AO92" s="14">
        <v>100</v>
      </c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2">
        <v>8900</v>
      </c>
    </row>
    <row r="93" spans="1:56" ht="38.25">
      <c r="A93" s="10">
        <v>431001</v>
      </c>
      <c r="B93" s="11" t="s">
        <v>155</v>
      </c>
      <c r="C93" s="12">
        <f>D93+E93+F93</f>
        <v>2800</v>
      </c>
      <c r="D93" s="12">
        <v>2800</v>
      </c>
      <c r="E93" s="12"/>
      <c r="F93" s="12"/>
      <c r="G93" s="12">
        <f>H93+I93</f>
        <v>2300</v>
      </c>
      <c r="H93" s="13">
        <f>2400-100</f>
        <v>2300</v>
      </c>
      <c r="I93" s="12"/>
      <c r="J93" s="14">
        <f t="shared" si="15"/>
        <v>59502</v>
      </c>
      <c r="K93" s="14">
        <f>L93+O93</f>
        <v>21502</v>
      </c>
      <c r="L93" s="14">
        <f>M93+N93</f>
        <v>8978</v>
      </c>
      <c r="M93" s="14">
        <v>3990</v>
      </c>
      <c r="N93" s="14">
        <v>4988</v>
      </c>
      <c r="O93" s="14">
        <f>P93+R93+S93+T93</f>
        <v>12524</v>
      </c>
      <c r="P93" s="14">
        <v>10459</v>
      </c>
      <c r="Q93" s="14"/>
      <c r="R93" s="14">
        <v>1856</v>
      </c>
      <c r="S93" s="14">
        <v>72</v>
      </c>
      <c r="T93" s="14">
        <v>137</v>
      </c>
      <c r="U93" s="14">
        <f t="shared" si="16"/>
        <v>38000</v>
      </c>
      <c r="V93" s="23">
        <f>36953-1560+2407</f>
        <v>37800</v>
      </c>
      <c r="W93" s="14">
        <v>200</v>
      </c>
      <c r="X93" s="14"/>
      <c r="Y93" s="14">
        <v>10040</v>
      </c>
      <c r="Z93" s="14">
        <f t="shared" si="17"/>
        <v>42140</v>
      </c>
      <c r="AA93" s="23">
        <f>39920+2220-2407</f>
        <v>39733</v>
      </c>
      <c r="AB93" s="14"/>
      <c r="AC93" s="14">
        <v>2407</v>
      </c>
      <c r="AD93" s="14"/>
      <c r="AE93" s="14"/>
      <c r="AF93" s="14"/>
      <c r="AG93" s="14">
        <f>AH93+AI93+AJ93+AK93</f>
        <v>8098</v>
      </c>
      <c r="AH93" s="14">
        <v>1394</v>
      </c>
      <c r="AI93" s="14">
        <v>1850</v>
      </c>
      <c r="AJ93" s="14">
        <v>3874</v>
      </c>
      <c r="AK93" s="14">
        <v>980</v>
      </c>
      <c r="AL93" s="14"/>
      <c r="AM93" s="14"/>
      <c r="AN93" s="14">
        <v>100</v>
      </c>
      <c r="AO93" s="14">
        <v>500</v>
      </c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2">
        <v>8580</v>
      </c>
    </row>
    <row r="94" spans="1:56" ht="25.5">
      <c r="A94" s="10">
        <v>435301</v>
      </c>
      <c r="B94" s="11" t="s">
        <v>156</v>
      </c>
      <c r="C94" s="12"/>
      <c r="D94" s="12"/>
      <c r="E94" s="12"/>
      <c r="F94" s="12"/>
      <c r="G94" s="12"/>
      <c r="H94" s="12"/>
      <c r="I94" s="12"/>
      <c r="J94" s="14">
        <f t="shared" si="15"/>
        <v>12920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f t="shared" si="16"/>
        <v>12920</v>
      </c>
      <c r="V94" s="14">
        <v>12920</v>
      </c>
      <c r="W94" s="14"/>
      <c r="X94" s="14"/>
      <c r="Y94" s="14">
        <v>5010</v>
      </c>
      <c r="Z94" s="14">
        <f t="shared" si="17"/>
        <v>2640</v>
      </c>
      <c r="AA94" s="14">
        <v>2640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2"/>
    </row>
    <row r="95" spans="1:56" ht="25.5">
      <c r="A95" s="10">
        <v>441001</v>
      </c>
      <c r="B95" s="11" t="s">
        <v>157</v>
      </c>
      <c r="C95" s="12">
        <f>D95+E95+F95</f>
        <v>1760</v>
      </c>
      <c r="D95" s="13">
        <f>1800-40</f>
        <v>1760</v>
      </c>
      <c r="E95" s="12"/>
      <c r="F95" s="12"/>
      <c r="G95" s="12">
        <f>H95+I95</f>
        <v>2040</v>
      </c>
      <c r="H95" s="13">
        <f>2100-60</f>
        <v>2040</v>
      </c>
      <c r="I95" s="12"/>
      <c r="J95" s="14">
        <f t="shared" si="15"/>
        <v>53047</v>
      </c>
      <c r="K95" s="14">
        <f>L95+O95</f>
        <v>18587</v>
      </c>
      <c r="L95" s="14">
        <f>M95+N95</f>
        <v>8495</v>
      </c>
      <c r="M95" s="14">
        <v>3499</v>
      </c>
      <c r="N95" s="14">
        <v>4996</v>
      </c>
      <c r="O95" s="14">
        <f>P95+R95+S95+T95</f>
        <v>10092</v>
      </c>
      <c r="P95" s="14">
        <v>8704</v>
      </c>
      <c r="Q95" s="14"/>
      <c r="R95" s="14">
        <v>1154</v>
      </c>
      <c r="S95" s="14">
        <v>96</v>
      </c>
      <c r="T95" s="14">
        <v>138</v>
      </c>
      <c r="U95" s="14">
        <f t="shared" si="16"/>
        <v>34460</v>
      </c>
      <c r="V95" s="23">
        <f>33677-1220+2003</f>
        <v>34460</v>
      </c>
      <c r="W95" s="14"/>
      <c r="X95" s="14"/>
      <c r="Y95" s="14">
        <v>8790</v>
      </c>
      <c r="Z95" s="14">
        <f t="shared" si="17"/>
        <v>37600</v>
      </c>
      <c r="AA95" s="23">
        <f>35620+1980-2003</f>
        <v>35597</v>
      </c>
      <c r="AB95" s="14"/>
      <c r="AC95" s="14">
        <v>2003</v>
      </c>
      <c r="AD95" s="14"/>
      <c r="AE95" s="14"/>
      <c r="AF95" s="14"/>
      <c r="AG95" s="14">
        <f>AH95+AI95+AJ95+AK95</f>
        <v>6814</v>
      </c>
      <c r="AH95" s="14">
        <v>1173</v>
      </c>
      <c r="AI95" s="14">
        <v>1557</v>
      </c>
      <c r="AJ95" s="14">
        <v>3259</v>
      </c>
      <c r="AK95" s="14">
        <v>825</v>
      </c>
      <c r="AL95" s="14"/>
      <c r="AM95" s="14"/>
      <c r="AN95" s="14">
        <v>100</v>
      </c>
      <c r="AO95" s="14">
        <v>500</v>
      </c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2">
        <v>7280</v>
      </c>
    </row>
    <row r="96" spans="1:56" ht="25.5">
      <c r="A96" s="10">
        <v>451001</v>
      </c>
      <c r="B96" s="11" t="s">
        <v>158</v>
      </c>
      <c r="C96" s="12">
        <f>D96+E96+F96</f>
        <v>12400</v>
      </c>
      <c r="D96" s="12">
        <v>12400</v>
      </c>
      <c r="E96" s="12"/>
      <c r="F96" s="12"/>
      <c r="G96" s="12">
        <f>H96+I96</f>
        <v>5200</v>
      </c>
      <c r="H96" s="12">
        <v>5200</v>
      </c>
      <c r="I96" s="12"/>
      <c r="J96" s="14">
        <f t="shared" si="15"/>
        <v>91446</v>
      </c>
      <c r="K96" s="14">
        <f>L96+O96</f>
        <v>37726</v>
      </c>
      <c r="L96" s="14">
        <f>M96+N96</f>
        <v>9265</v>
      </c>
      <c r="M96" s="14">
        <v>9265</v>
      </c>
      <c r="N96" s="14"/>
      <c r="O96" s="14">
        <f>P96+R96+S96+T96</f>
        <v>28461</v>
      </c>
      <c r="P96" s="14">
        <v>24205</v>
      </c>
      <c r="Q96" s="14"/>
      <c r="R96" s="14">
        <v>4256</v>
      </c>
      <c r="S96" s="14"/>
      <c r="T96" s="14"/>
      <c r="U96" s="14">
        <f t="shared" si="16"/>
        <v>53720</v>
      </c>
      <c r="V96" s="23">
        <f>49950-2550+5570</f>
        <v>52970</v>
      </c>
      <c r="W96" s="14">
        <v>750</v>
      </c>
      <c r="X96" s="14"/>
      <c r="Y96" s="14">
        <v>18170</v>
      </c>
      <c r="Z96" s="14">
        <f t="shared" si="17"/>
        <v>68780</v>
      </c>
      <c r="AA96" s="23">
        <f>61350+3430-5570</f>
        <v>59210</v>
      </c>
      <c r="AB96" s="14">
        <v>4000</v>
      </c>
      <c r="AC96" s="14">
        <v>5570</v>
      </c>
      <c r="AD96" s="14"/>
      <c r="AE96" s="14"/>
      <c r="AF96" s="14"/>
      <c r="AG96" s="14">
        <f>AH96+AI96+AJ96+AK96</f>
        <v>18755</v>
      </c>
      <c r="AH96" s="14">
        <v>3228</v>
      </c>
      <c r="AI96" s="14">
        <v>4285</v>
      </c>
      <c r="AJ96" s="14">
        <v>8972</v>
      </c>
      <c r="AK96" s="14">
        <v>2270</v>
      </c>
      <c r="AL96" s="14">
        <v>3000</v>
      </c>
      <c r="AM96" s="14">
        <v>2470</v>
      </c>
      <c r="AN96" s="14">
        <v>4000</v>
      </c>
      <c r="AO96" s="14">
        <v>2000</v>
      </c>
      <c r="AP96" s="14"/>
      <c r="AQ96" s="14"/>
      <c r="AR96" s="14">
        <v>5000</v>
      </c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2"/>
    </row>
    <row r="97" spans="1:56" ht="25.5">
      <c r="A97" s="10">
        <v>451002</v>
      </c>
      <c r="B97" s="11" t="s">
        <v>159</v>
      </c>
      <c r="C97" s="12">
        <f>D97+E97+F97</f>
        <v>1400</v>
      </c>
      <c r="D97" s="12">
        <v>1400</v>
      </c>
      <c r="E97" s="12"/>
      <c r="F97" s="12"/>
      <c r="G97" s="12">
        <f>H97+I97</f>
        <v>1600</v>
      </c>
      <c r="H97" s="12">
        <v>1600</v>
      </c>
      <c r="I97" s="12"/>
      <c r="J97" s="14">
        <f t="shared" si="15"/>
        <v>57202</v>
      </c>
      <c r="K97" s="14">
        <f>L97+O97</f>
        <v>13632</v>
      </c>
      <c r="L97" s="14">
        <f>M97+N97</f>
        <v>13377</v>
      </c>
      <c r="M97" s="14"/>
      <c r="N97" s="14">
        <v>13377</v>
      </c>
      <c r="O97" s="14">
        <f>P97+R97+S97+T97</f>
        <v>255</v>
      </c>
      <c r="P97" s="14"/>
      <c r="Q97" s="14"/>
      <c r="R97" s="14"/>
      <c r="S97" s="14">
        <v>135</v>
      </c>
      <c r="T97" s="14">
        <v>120</v>
      </c>
      <c r="U97" s="14">
        <f t="shared" si="16"/>
        <v>43570</v>
      </c>
      <c r="V97" s="14">
        <f>45120-1550</f>
        <v>43570</v>
      </c>
      <c r="W97" s="14"/>
      <c r="X97" s="14"/>
      <c r="Y97" s="14">
        <v>5900</v>
      </c>
      <c r="Z97" s="14">
        <f t="shared" si="17"/>
        <v>37640</v>
      </c>
      <c r="AA97" s="14">
        <f>35660+1980</f>
        <v>37640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>
        <v>100</v>
      </c>
      <c r="AO97" s="14">
        <v>0</v>
      </c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2"/>
    </row>
    <row r="98" spans="1:56" ht="25.5">
      <c r="A98" s="10">
        <v>455301</v>
      </c>
      <c r="B98" s="11" t="s">
        <v>160</v>
      </c>
      <c r="C98" s="12"/>
      <c r="D98" s="12"/>
      <c r="E98" s="12"/>
      <c r="F98" s="12"/>
      <c r="G98" s="12"/>
      <c r="H98" s="12"/>
      <c r="I98" s="12"/>
      <c r="J98" s="14">
        <f t="shared" ref="J98:J120" si="24">K98+U98</f>
        <v>27020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f t="shared" ref="U98:U120" si="25">V98+W98+X98</f>
        <v>27020</v>
      </c>
      <c r="V98" s="14">
        <v>27020</v>
      </c>
      <c r="W98" s="14"/>
      <c r="X98" s="14"/>
      <c r="Y98" s="14">
        <v>9840</v>
      </c>
      <c r="Z98" s="14">
        <f t="shared" ref="Z98:Z120" si="26">AA98+AB98+AD98+AE98+AC98</f>
        <v>11180</v>
      </c>
      <c r="AA98" s="14">
        <v>11180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2"/>
    </row>
    <row r="99" spans="1:56" ht="25.5">
      <c r="A99" s="10">
        <v>461001</v>
      </c>
      <c r="B99" s="11" t="s">
        <v>161</v>
      </c>
      <c r="C99" s="12">
        <f t="shared" ref="C99:C113" si="27">D99+E99+F99</f>
        <v>1040</v>
      </c>
      <c r="D99" s="13">
        <f>1000+40</f>
        <v>1040</v>
      </c>
      <c r="E99" s="12"/>
      <c r="F99" s="12"/>
      <c r="G99" s="12">
        <f t="shared" ref="G99:G115" si="28">H99+I99</f>
        <v>1380</v>
      </c>
      <c r="H99" s="13">
        <f>1300+80</f>
        <v>1380</v>
      </c>
      <c r="I99" s="12"/>
      <c r="J99" s="14">
        <f t="shared" si="24"/>
        <v>23359</v>
      </c>
      <c r="K99" s="14">
        <f t="shared" ref="K99:K113" si="29">L99+O99</f>
        <v>8509</v>
      </c>
      <c r="L99" s="14">
        <f t="shared" ref="L99:L113" si="30">M99+N99</f>
        <v>3324</v>
      </c>
      <c r="M99" s="14">
        <v>1598</v>
      </c>
      <c r="N99" s="14">
        <v>1726</v>
      </c>
      <c r="O99" s="14">
        <f t="shared" ref="O99:O113" si="31">P99+R99+S99+T99</f>
        <v>5185</v>
      </c>
      <c r="P99" s="14">
        <v>4484</v>
      </c>
      <c r="Q99" s="14"/>
      <c r="R99" s="14">
        <v>666</v>
      </c>
      <c r="S99" s="14">
        <v>35</v>
      </c>
      <c r="T99" s="14"/>
      <c r="U99" s="14">
        <f t="shared" si="25"/>
        <v>14850</v>
      </c>
      <c r="V99" s="23">
        <f>14348-530+1032</f>
        <v>14850</v>
      </c>
      <c r="W99" s="14"/>
      <c r="X99" s="14"/>
      <c r="Y99" s="14">
        <v>4080</v>
      </c>
      <c r="Z99" s="14">
        <f t="shared" si="26"/>
        <v>16770</v>
      </c>
      <c r="AA99" s="23">
        <f>15880+890-1032</f>
        <v>15738</v>
      </c>
      <c r="AB99" s="14"/>
      <c r="AC99" s="14">
        <v>1032</v>
      </c>
      <c r="AD99" s="14"/>
      <c r="AE99" s="14"/>
      <c r="AF99" s="14"/>
      <c r="AG99" s="14">
        <f t="shared" ref="AG99:AG113" si="32">AH99+AI99+AJ99+AK99</f>
        <v>3427</v>
      </c>
      <c r="AH99" s="14">
        <v>590</v>
      </c>
      <c r="AI99" s="14">
        <v>783</v>
      </c>
      <c r="AJ99" s="14">
        <v>1639</v>
      </c>
      <c r="AK99" s="14">
        <v>415</v>
      </c>
      <c r="AL99" s="14"/>
      <c r="AM99" s="14"/>
      <c r="AN99" s="14">
        <v>100</v>
      </c>
      <c r="AO99" s="14">
        <v>250</v>
      </c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2">
        <v>3520</v>
      </c>
    </row>
    <row r="100" spans="1:56" ht="25.5">
      <c r="A100" s="10">
        <v>471001</v>
      </c>
      <c r="B100" s="11" t="s">
        <v>162</v>
      </c>
      <c r="C100" s="12">
        <f t="shared" si="27"/>
        <v>2000</v>
      </c>
      <c r="D100" s="12">
        <v>2000</v>
      </c>
      <c r="E100" s="12"/>
      <c r="F100" s="12"/>
      <c r="G100" s="12">
        <f t="shared" si="28"/>
        <v>1900</v>
      </c>
      <c r="H100" s="12">
        <v>1900</v>
      </c>
      <c r="I100" s="12"/>
      <c r="J100" s="14">
        <f t="shared" si="24"/>
        <v>55679</v>
      </c>
      <c r="K100" s="14">
        <f t="shared" si="29"/>
        <v>19559</v>
      </c>
      <c r="L100" s="14">
        <f t="shared" si="30"/>
        <v>8806</v>
      </c>
      <c r="M100" s="14">
        <v>3734</v>
      </c>
      <c r="N100" s="14">
        <v>5072</v>
      </c>
      <c r="O100" s="14">
        <f t="shared" si="31"/>
        <v>10753</v>
      </c>
      <c r="P100" s="14">
        <v>9373</v>
      </c>
      <c r="Q100" s="14"/>
      <c r="R100" s="14">
        <v>1287</v>
      </c>
      <c r="S100" s="14">
        <v>93</v>
      </c>
      <c r="T100" s="14"/>
      <c r="U100" s="14">
        <f t="shared" si="25"/>
        <v>36120</v>
      </c>
      <c r="V100" s="23">
        <f>35253-1560+2157</f>
        <v>35850</v>
      </c>
      <c r="W100" s="14">
        <v>270</v>
      </c>
      <c r="X100" s="14"/>
      <c r="Y100" s="14">
        <v>9320</v>
      </c>
      <c r="Z100" s="14">
        <f t="shared" si="26"/>
        <v>39630</v>
      </c>
      <c r="AA100" s="23">
        <f>37540+2090-2157</f>
        <v>37473</v>
      </c>
      <c r="AB100" s="14"/>
      <c r="AC100" s="14">
        <v>2157</v>
      </c>
      <c r="AD100" s="14"/>
      <c r="AE100" s="14"/>
      <c r="AF100" s="14"/>
      <c r="AG100" s="14">
        <f t="shared" si="32"/>
        <v>7322</v>
      </c>
      <c r="AH100" s="14">
        <v>1260</v>
      </c>
      <c r="AI100" s="14">
        <v>1673</v>
      </c>
      <c r="AJ100" s="14">
        <v>3503</v>
      </c>
      <c r="AK100" s="14">
        <v>886</v>
      </c>
      <c r="AL100" s="14"/>
      <c r="AM100" s="14"/>
      <c r="AN100" s="14">
        <v>1000</v>
      </c>
      <c r="AO100" s="14">
        <v>500</v>
      </c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2">
        <v>7920</v>
      </c>
    </row>
    <row r="101" spans="1:56" ht="25.5">
      <c r="A101" s="10">
        <v>481001</v>
      </c>
      <c r="B101" s="11" t="s">
        <v>163</v>
      </c>
      <c r="C101" s="12">
        <f t="shared" si="27"/>
        <v>2600</v>
      </c>
      <c r="D101" s="12">
        <v>2600</v>
      </c>
      <c r="E101" s="12"/>
      <c r="F101" s="12"/>
      <c r="G101" s="12">
        <f t="shared" si="28"/>
        <v>1300</v>
      </c>
      <c r="H101" s="12">
        <v>1300</v>
      </c>
      <c r="I101" s="12"/>
      <c r="J101" s="14">
        <f t="shared" si="24"/>
        <v>60438</v>
      </c>
      <c r="K101" s="14">
        <f t="shared" si="29"/>
        <v>21248</v>
      </c>
      <c r="L101" s="14">
        <f t="shared" si="30"/>
        <v>9171</v>
      </c>
      <c r="M101" s="14">
        <v>3964</v>
      </c>
      <c r="N101" s="14">
        <v>5207</v>
      </c>
      <c r="O101" s="14">
        <f t="shared" si="31"/>
        <v>12077</v>
      </c>
      <c r="P101" s="14">
        <v>10680</v>
      </c>
      <c r="Q101" s="14"/>
      <c r="R101" s="14">
        <v>1276</v>
      </c>
      <c r="S101" s="14">
        <v>84</v>
      </c>
      <c r="T101" s="14">
        <v>37</v>
      </c>
      <c r="U101" s="14">
        <f t="shared" si="25"/>
        <v>39190</v>
      </c>
      <c r="V101" s="23">
        <f>38132-1400+2458</f>
        <v>39190</v>
      </c>
      <c r="W101" s="14"/>
      <c r="X101" s="14"/>
      <c r="Y101" s="14">
        <v>10280</v>
      </c>
      <c r="Z101" s="14">
        <f t="shared" si="26"/>
        <v>43310</v>
      </c>
      <c r="AA101" s="23">
        <f>41030+2280-2458</f>
        <v>40852</v>
      </c>
      <c r="AB101" s="14"/>
      <c r="AC101" s="14">
        <v>2458</v>
      </c>
      <c r="AD101" s="14"/>
      <c r="AE101" s="14"/>
      <c r="AF101" s="14"/>
      <c r="AG101" s="14">
        <f t="shared" si="32"/>
        <v>8224</v>
      </c>
      <c r="AH101" s="14">
        <v>1416</v>
      </c>
      <c r="AI101" s="14">
        <v>1879</v>
      </c>
      <c r="AJ101" s="14">
        <v>3934</v>
      </c>
      <c r="AK101" s="14">
        <v>995</v>
      </c>
      <c r="AL101" s="14"/>
      <c r="AM101" s="14"/>
      <c r="AN101" s="14">
        <v>1000</v>
      </c>
      <c r="AO101" s="14">
        <v>900</v>
      </c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2">
        <v>8720</v>
      </c>
    </row>
    <row r="102" spans="1:56" ht="25.5">
      <c r="A102" s="10">
        <v>491001</v>
      </c>
      <c r="B102" s="11" t="s">
        <v>164</v>
      </c>
      <c r="C102" s="12">
        <f t="shared" si="27"/>
        <v>2200</v>
      </c>
      <c r="D102" s="12">
        <v>2200</v>
      </c>
      <c r="E102" s="12"/>
      <c r="F102" s="12"/>
      <c r="G102" s="12">
        <f t="shared" si="28"/>
        <v>1500</v>
      </c>
      <c r="H102" s="12">
        <v>1500</v>
      </c>
      <c r="I102" s="12"/>
      <c r="J102" s="14">
        <f t="shared" si="24"/>
        <v>38959</v>
      </c>
      <c r="K102" s="14">
        <f t="shared" si="29"/>
        <v>13869</v>
      </c>
      <c r="L102" s="14">
        <f t="shared" si="30"/>
        <v>5922</v>
      </c>
      <c r="M102" s="14">
        <v>2727</v>
      </c>
      <c r="N102" s="14">
        <v>3195</v>
      </c>
      <c r="O102" s="14">
        <f t="shared" si="31"/>
        <v>7947</v>
      </c>
      <c r="P102" s="14">
        <v>6990</v>
      </c>
      <c r="Q102" s="14"/>
      <c r="R102" s="14">
        <v>905</v>
      </c>
      <c r="S102" s="14">
        <v>52</v>
      </c>
      <c r="T102" s="14"/>
      <c r="U102" s="14">
        <f t="shared" si="25"/>
        <v>25090</v>
      </c>
      <c r="V102" s="23">
        <f>24371-890+1609</f>
        <v>25090</v>
      </c>
      <c r="W102" s="14"/>
      <c r="X102" s="14"/>
      <c r="Y102" s="14">
        <v>6690</v>
      </c>
      <c r="Z102" s="14">
        <f t="shared" si="26"/>
        <v>27930</v>
      </c>
      <c r="AA102" s="23">
        <f>26460+1470-1609</f>
        <v>26321</v>
      </c>
      <c r="AB102" s="14"/>
      <c r="AC102" s="14">
        <v>1609</v>
      </c>
      <c r="AD102" s="14"/>
      <c r="AE102" s="14"/>
      <c r="AF102" s="14"/>
      <c r="AG102" s="14">
        <f t="shared" si="32"/>
        <v>5437</v>
      </c>
      <c r="AH102" s="14">
        <v>936</v>
      </c>
      <c r="AI102" s="14">
        <v>1242</v>
      </c>
      <c r="AJ102" s="14">
        <v>2601</v>
      </c>
      <c r="AK102" s="14">
        <v>658</v>
      </c>
      <c r="AL102" s="14"/>
      <c r="AM102" s="14"/>
      <c r="AN102" s="14">
        <v>1000</v>
      </c>
      <c r="AO102" s="14">
        <v>300</v>
      </c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2">
        <v>5730</v>
      </c>
    </row>
    <row r="103" spans="1:56" ht="25.5">
      <c r="A103" s="10">
        <v>501001</v>
      </c>
      <c r="B103" s="11" t="s">
        <v>165</v>
      </c>
      <c r="C103" s="12">
        <f t="shared" si="27"/>
        <v>1600</v>
      </c>
      <c r="D103" s="12">
        <v>1600</v>
      </c>
      <c r="E103" s="12"/>
      <c r="F103" s="12"/>
      <c r="G103" s="12">
        <f t="shared" si="28"/>
        <v>900</v>
      </c>
      <c r="H103" s="12">
        <v>900</v>
      </c>
      <c r="I103" s="12"/>
      <c r="J103" s="14">
        <f t="shared" si="24"/>
        <v>40165</v>
      </c>
      <c r="K103" s="14">
        <f t="shared" si="29"/>
        <v>13905</v>
      </c>
      <c r="L103" s="14">
        <f t="shared" si="30"/>
        <v>6416</v>
      </c>
      <c r="M103" s="14">
        <v>2693</v>
      </c>
      <c r="N103" s="14">
        <v>3723</v>
      </c>
      <c r="O103" s="14">
        <f t="shared" si="31"/>
        <v>7489</v>
      </c>
      <c r="P103" s="14">
        <v>6707</v>
      </c>
      <c r="Q103" s="14"/>
      <c r="R103" s="14">
        <v>732</v>
      </c>
      <c r="S103" s="14">
        <v>43</v>
      </c>
      <c r="T103" s="14">
        <v>7</v>
      </c>
      <c r="U103" s="14">
        <f t="shared" si="25"/>
        <v>26260</v>
      </c>
      <c r="V103" s="23">
        <f>25666-950+1544</f>
        <v>26260</v>
      </c>
      <c r="W103" s="14"/>
      <c r="X103" s="14"/>
      <c r="Y103" s="14">
        <v>6730</v>
      </c>
      <c r="Z103" s="14">
        <f t="shared" si="26"/>
        <v>28730</v>
      </c>
      <c r="AA103" s="23">
        <f>27210+1520-1544</f>
        <v>27186</v>
      </c>
      <c r="AB103" s="14"/>
      <c r="AC103" s="14">
        <v>1544</v>
      </c>
      <c r="AD103" s="14"/>
      <c r="AE103" s="14"/>
      <c r="AF103" s="14"/>
      <c r="AG103" s="14">
        <f t="shared" si="32"/>
        <v>5248</v>
      </c>
      <c r="AH103" s="14">
        <v>903</v>
      </c>
      <c r="AI103" s="14">
        <v>1199</v>
      </c>
      <c r="AJ103" s="14">
        <v>2511</v>
      </c>
      <c r="AK103" s="14">
        <v>635</v>
      </c>
      <c r="AL103" s="14"/>
      <c r="AM103" s="14"/>
      <c r="AN103" s="14">
        <v>1000</v>
      </c>
      <c r="AO103" s="14">
        <v>500</v>
      </c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2">
        <v>5630</v>
      </c>
    </row>
    <row r="104" spans="1:56" ht="38.25">
      <c r="A104" s="10">
        <v>511001</v>
      </c>
      <c r="B104" s="11" t="s">
        <v>166</v>
      </c>
      <c r="C104" s="12">
        <f t="shared" si="27"/>
        <v>1000</v>
      </c>
      <c r="D104" s="12">
        <v>1000</v>
      </c>
      <c r="E104" s="12"/>
      <c r="F104" s="12"/>
      <c r="G104" s="12">
        <f t="shared" si="28"/>
        <v>900</v>
      </c>
      <c r="H104" s="12">
        <v>900</v>
      </c>
      <c r="I104" s="12"/>
      <c r="J104" s="14">
        <f t="shared" si="24"/>
        <v>28289</v>
      </c>
      <c r="K104" s="14">
        <f t="shared" si="29"/>
        <v>9889</v>
      </c>
      <c r="L104" s="14">
        <f t="shared" si="30"/>
        <v>4514</v>
      </c>
      <c r="M104" s="14">
        <v>1941</v>
      </c>
      <c r="N104" s="14">
        <v>2573</v>
      </c>
      <c r="O104" s="14">
        <f t="shared" si="31"/>
        <v>5375</v>
      </c>
      <c r="P104" s="14">
        <v>4761</v>
      </c>
      <c r="Q104" s="14"/>
      <c r="R104" s="14">
        <v>574</v>
      </c>
      <c r="S104" s="14">
        <v>40</v>
      </c>
      <c r="T104" s="14"/>
      <c r="U104" s="14">
        <f t="shared" si="25"/>
        <v>18400</v>
      </c>
      <c r="V104" s="23">
        <f>17964-660+1096</f>
        <v>18400</v>
      </c>
      <c r="W104" s="14"/>
      <c r="X104" s="14"/>
      <c r="Y104" s="14">
        <v>4750</v>
      </c>
      <c r="Z104" s="14">
        <f t="shared" si="26"/>
        <v>20200</v>
      </c>
      <c r="AA104" s="23">
        <f>19140+1060-1096</f>
        <v>19104</v>
      </c>
      <c r="AB104" s="14"/>
      <c r="AC104" s="14">
        <v>1096</v>
      </c>
      <c r="AD104" s="14"/>
      <c r="AE104" s="14"/>
      <c r="AF104" s="14"/>
      <c r="AG104" s="14">
        <f t="shared" si="32"/>
        <v>3737</v>
      </c>
      <c r="AH104" s="14">
        <v>643</v>
      </c>
      <c r="AI104" s="14">
        <v>854</v>
      </c>
      <c r="AJ104" s="14">
        <v>1788</v>
      </c>
      <c r="AK104" s="14">
        <v>452</v>
      </c>
      <c r="AL104" s="14"/>
      <c r="AM104" s="14"/>
      <c r="AN104" s="14">
        <v>1000</v>
      </c>
      <c r="AO104" s="14">
        <v>200</v>
      </c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2">
        <v>4010</v>
      </c>
    </row>
    <row r="105" spans="1:56" ht="25.5">
      <c r="A105" s="10">
        <v>521001</v>
      </c>
      <c r="B105" s="11" t="s">
        <v>167</v>
      </c>
      <c r="C105" s="12">
        <f t="shared" si="27"/>
        <v>3000</v>
      </c>
      <c r="D105" s="12">
        <v>3000</v>
      </c>
      <c r="E105" s="12"/>
      <c r="F105" s="12"/>
      <c r="G105" s="12">
        <f t="shared" si="28"/>
        <v>1500</v>
      </c>
      <c r="H105" s="12">
        <v>1500</v>
      </c>
      <c r="I105" s="12"/>
      <c r="J105" s="14">
        <f t="shared" si="24"/>
        <v>74330</v>
      </c>
      <c r="K105" s="14">
        <f t="shared" si="29"/>
        <v>25260</v>
      </c>
      <c r="L105" s="14">
        <f t="shared" si="30"/>
        <v>12394</v>
      </c>
      <c r="M105" s="14">
        <v>5068</v>
      </c>
      <c r="N105" s="14">
        <v>7326</v>
      </c>
      <c r="O105" s="14">
        <f t="shared" si="31"/>
        <v>12866</v>
      </c>
      <c r="P105" s="14">
        <v>11672</v>
      </c>
      <c r="Q105" s="14"/>
      <c r="R105" s="14">
        <v>1149</v>
      </c>
      <c r="S105" s="14">
        <v>45</v>
      </c>
      <c r="T105" s="14"/>
      <c r="U105" s="14">
        <f t="shared" si="25"/>
        <v>49070</v>
      </c>
      <c r="V105" s="23">
        <f>48124-1900+2686</f>
        <v>48910</v>
      </c>
      <c r="W105" s="14">
        <v>160</v>
      </c>
      <c r="X105" s="14"/>
      <c r="Y105" s="14">
        <v>12230</v>
      </c>
      <c r="Z105" s="14">
        <f t="shared" si="26"/>
        <v>53740</v>
      </c>
      <c r="AA105" s="23">
        <f>46960+2780-2686</f>
        <v>47054</v>
      </c>
      <c r="AB105" s="14">
        <v>4000</v>
      </c>
      <c r="AC105" s="14">
        <v>2686</v>
      </c>
      <c r="AD105" s="14"/>
      <c r="AE105" s="14"/>
      <c r="AF105" s="14"/>
      <c r="AG105" s="14">
        <f t="shared" si="32"/>
        <v>9292</v>
      </c>
      <c r="AH105" s="14">
        <v>1599</v>
      </c>
      <c r="AI105" s="14">
        <v>2123</v>
      </c>
      <c r="AJ105" s="14">
        <v>4445</v>
      </c>
      <c r="AK105" s="14">
        <v>1125</v>
      </c>
      <c r="AL105" s="14">
        <v>3000</v>
      </c>
      <c r="AM105" s="14"/>
      <c r="AN105" s="14">
        <v>1500</v>
      </c>
      <c r="AO105" s="14">
        <v>800</v>
      </c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2">
        <v>10390</v>
      </c>
    </row>
    <row r="106" spans="1:56" ht="25.5">
      <c r="A106" s="10">
        <v>531001</v>
      </c>
      <c r="B106" s="11" t="s">
        <v>168</v>
      </c>
      <c r="C106" s="12">
        <f t="shared" si="27"/>
        <v>1500</v>
      </c>
      <c r="D106" s="12">
        <v>1500</v>
      </c>
      <c r="E106" s="12"/>
      <c r="F106" s="12"/>
      <c r="G106" s="12">
        <f t="shared" si="28"/>
        <v>1500</v>
      </c>
      <c r="H106" s="12">
        <v>1500</v>
      </c>
      <c r="I106" s="12"/>
      <c r="J106" s="14">
        <f t="shared" si="24"/>
        <v>32291</v>
      </c>
      <c r="K106" s="14">
        <f t="shared" si="29"/>
        <v>11611</v>
      </c>
      <c r="L106" s="14">
        <f t="shared" si="30"/>
        <v>4820</v>
      </c>
      <c r="M106" s="14">
        <v>2168</v>
      </c>
      <c r="N106" s="14">
        <v>2652</v>
      </c>
      <c r="O106" s="14">
        <f t="shared" si="31"/>
        <v>6791</v>
      </c>
      <c r="P106" s="14">
        <v>5820</v>
      </c>
      <c r="Q106" s="14"/>
      <c r="R106" s="14">
        <v>893</v>
      </c>
      <c r="S106" s="14">
        <v>41</v>
      </c>
      <c r="T106" s="14">
        <v>37</v>
      </c>
      <c r="U106" s="14">
        <f t="shared" si="25"/>
        <v>20680</v>
      </c>
      <c r="V106" s="23">
        <f>20081-1120+1339</f>
        <v>20300</v>
      </c>
      <c r="W106" s="14">
        <v>380</v>
      </c>
      <c r="X106" s="14"/>
      <c r="Y106" s="14">
        <v>5510</v>
      </c>
      <c r="Z106" s="14">
        <f t="shared" si="26"/>
        <v>23030</v>
      </c>
      <c r="AA106" s="23">
        <f>21820+1210-1339</f>
        <v>21691</v>
      </c>
      <c r="AB106" s="14"/>
      <c r="AC106" s="14">
        <v>1339</v>
      </c>
      <c r="AD106" s="14"/>
      <c r="AE106" s="14"/>
      <c r="AF106" s="14"/>
      <c r="AG106" s="14">
        <f t="shared" si="32"/>
        <v>4486</v>
      </c>
      <c r="AH106" s="14">
        <v>772</v>
      </c>
      <c r="AI106" s="14">
        <v>1025</v>
      </c>
      <c r="AJ106" s="14">
        <v>2146</v>
      </c>
      <c r="AK106" s="14">
        <v>543</v>
      </c>
      <c r="AL106" s="14"/>
      <c r="AM106" s="14"/>
      <c r="AN106" s="14">
        <v>1000</v>
      </c>
      <c r="AO106" s="14">
        <v>500</v>
      </c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2">
        <v>4670</v>
      </c>
    </row>
    <row r="107" spans="1:56" ht="51">
      <c r="A107" s="10">
        <v>541001</v>
      </c>
      <c r="B107" s="11" t="s">
        <v>169</v>
      </c>
      <c r="C107" s="12">
        <f t="shared" si="27"/>
        <v>1300</v>
      </c>
      <c r="D107" s="12">
        <v>1300</v>
      </c>
      <c r="E107" s="12"/>
      <c r="F107" s="12"/>
      <c r="G107" s="12">
        <f t="shared" si="28"/>
        <v>500</v>
      </c>
      <c r="H107" s="12">
        <v>500</v>
      </c>
      <c r="I107" s="12"/>
      <c r="J107" s="14">
        <f t="shared" si="24"/>
        <v>26340</v>
      </c>
      <c r="K107" s="14">
        <f t="shared" si="29"/>
        <v>9420</v>
      </c>
      <c r="L107" s="14">
        <f t="shared" si="30"/>
        <v>3864</v>
      </c>
      <c r="M107" s="14">
        <v>1778</v>
      </c>
      <c r="N107" s="14">
        <v>2086</v>
      </c>
      <c r="O107" s="14">
        <f t="shared" si="31"/>
        <v>5556</v>
      </c>
      <c r="P107" s="14">
        <v>4882</v>
      </c>
      <c r="Q107" s="14"/>
      <c r="R107" s="14">
        <v>598</v>
      </c>
      <c r="S107" s="14">
        <v>53</v>
      </c>
      <c r="T107" s="14">
        <v>23</v>
      </c>
      <c r="U107" s="14">
        <f t="shared" si="25"/>
        <v>16920</v>
      </c>
      <c r="V107" s="23">
        <f>16406-780+1124</f>
        <v>16750</v>
      </c>
      <c r="W107" s="14">
        <v>170</v>
      </c>
      <c r="X107" s="14"/>
      <c r="Y107" s="14">
        <v>4560</v>
      </c>
      <c r="Z107" s="14">
        <f t="shared" si="26"/>
        <v>18930</v>
      </c>
      <c r="AA107" s="23">
        <f>17930+1000-1124</f>
        <v>17806</v>
      </c>
      <c r="AB107" s="14"/>
      <c r="AC107" s="14">
        <v>1124</v>
      </c>
      <c r="AD107" s="14"/>
      <c r="AE107" s="14"/>
      <c r="AF107" s="14"/>
      <c r="AG107" s="14">
        <f t="shared" si="32"/>
        <v>3746</v>
      </c>
      <c r="AH107" s="14">
        <v>645</v>
      </c>
      <c r="AI107" s="14">
        <v>856</v>
      </c>
      <c r="AJ107" s="14">
        <v>1792</v>
      </c>
      <c r="AK107" s="14">
        <v>453</v>
      </c>
      <c r="AL107" s="14"/>
      <c r="AM107" s="14"/>
      <c r="AN107" s="14">
        <v>100</v>
      </c>
      <c r="AO107" s="14">
        <v>0</v>
      </c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2">
        <v>3950</v>
      </c>
    </row>
    <row r="108" spans="1:56" ht="51">
      <c r="A108" s="10">
        <v>551001</v>
      </c>
      <c r="B108" s="11" t="s">
        <v>170</v>
      </c>
      <c r="C108" s="12">
        <f t="shared" si="27"/>
        <v>1600</v>
      </c>
      <c r="D108" s="13">
        <f>1700-100</f>
        <v>1600</v>
      </c>
      <c r="E108" s="12"/>
      <c r="F108" s="12"/>
      <c r="G108" s="12">
        <f t="shared" si="28"/>
        <v>1600</v>
      </c>
      <c r="H108" s="13">
        <f>1700-100</f>
        <v>1600</v>
      </c>
      <c r="I108" s="12"/>
      <c r="J108" s="14">
        <f t="shared" si="24"/>
        <v>66648</v>
      </c>
      <c r="K108" s="14">
        <f t="shared" si="29"/>
        <v>23808</v>
      </c>
      <c r="L108" s="14">
        <f t="shared" si="30"/>
        <v>10718</v>
      </c>
      <c r="M108" s="14">
        <v>4941</v>
      </c>
      <c r="N108" s="14">
        <v>5777</v>
      </c>
      <c r="O108" s="14">
        <f t="shared" si="31"/>
        <v>13090</v>
      </c>
      <c r="P108" s="14">
        <v>11201</v>
      </c>
      <c r="Q108" s="14"/>
      <c r="R108" s="14">
        <v>1812</v>
      </c>
      <c r="S108" s="14">
        <v>77</v>
      </c>
      <c r="T108" s="14"/>
      <c r="U108" s="14">
        <f t="shared" si="25"/>
        <v>42840</v>
      </c>
      <c r="V108" s="23">
        <f>41802-1540+2578</f>
        <v>42840</v>
      </c>
      <c r="W108" s="14"/>
      <c r="X108" s="14"/>
      <c r="Y108" s="14">
        <v>11210</v>
      </c>
      <c r="Z108" s="14">
        <f t="shared" si="26"/>
        <v>47300</v>
      </c>
      <c r="AA108" s="23">
        <f>44810+2490-2578</f>
        <v>44722</v>
      </c>
      <c r="AB108" s="14"/>
      <c r="AC108" s="14">
        <v>2578</v>
      </c>
      <c r="AD108" s="14"/>
      <c r="AE108" s="14"/>
      <c r="AF108" s="14"/>
      <c r="AG108" s="14">
        <f t="shared" si="32"/>
        <v>8949</v>
      </c>
      <c r="AH108" s="14">
        <v>1540</v>
      </c>
      <c r="AI108" s="14">
        <v>2045</v>
      </c>
      <c r="AJ108" s="14">
        <v>4281</v>
      </c>
      <c r="AK108" s="14">
        <v>1083</v>
      </c>
      <c r="AL108" s="14"/>
      <c r="AM108" s="14"/>
      <c r="AN108" s="14">
        <v>1500</v>
      </c>
      <c r="AO108" s="14">
        <v>500</v>
      </c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2">
        <v>9430</v>
      </c>
    </row>
    <row r="109" spans="1:56" ht="25.5">
      <c r="A109" s="10">
        <v>561001</v>
      </c>
      <c r="B109" s="11" t="s">
        <v>171</v>
      </c>
      <c r="C109" s="12">
        <f t="shared" si="27"/>
        <v>1900</v>
      </c>
      <c r="D109" s="12">
        <v>1900</v>
      </c>
      <c r="E109" s="12"/>
      <c r="F109" s="12"/>
      <c r="G109" s="12">
        <f t="shared" si="28"/>
        <v>2200</v>
      </c>
      <c r="H109" s="12">
        <v>2200</v>
      </c>
      <c r="I109" s="12"/>
      <c r="J109" s="14">
        <f t="shared" si="24"/>
        <v>35096</v>
      </c>
      <c r="K109" s="14">
        <f t="shared" si="29"/>
        <v>12636</v>
      </c>
      <c r="L109" s="14">
        <f t="shared" si="30"/>
        <v>5036</v>
      </c>
      <c r="M109" s="14">
        <v>2329</v>
      </c>
      <c r="N109" s="14">
        <v>2707</v>
      </c>
      <c r="O109" s="14">
        <f t="shared" si="31"/>
        <v>7600</v>
      </c>
      <c r="P109" s="14">
        <v>6593</v>
      </c>
      <c r="Q109" s="14"/>
      <c r="R109" s="14">
        <v>849</v>
      </c>
      <c r="S109" s="14">
        <v>56</v>
      </c>
      <c r="T109" s="14">
        <v>102</v>
      </c>
      <c r="U109" s="14">
        <f t="shared" si="25"/>
        <v>22460</v>
      </c>
      <c r="V109" s="23">
        <f>21743-800+1517</f>
        <v>22460</v>
      </c>
      <c r="W109" s="14"/>
      <c r="X109" s="14"/>
      <c r="Y109" s="14">
        <v>6080</v>
      </c>
      <c r="Z109" s="14">
        <f t="shared" si="26"/>
        <v>25180</v>
      </c>
      <c r="AA109" s="23">
        <f>23860+1320-1517</f>
        <v>23663</v>
      </c>
      <c r="AB109" s="14"/>
      <c r="AC109" s="14">
        <v>1517</v>
      </c>
      <c r="AD109" s="14"/>
      <c r="AE109" s="14"/>
      <c r="AF109" s="14"/>
      <c r="AG109" s="14">
        <f t="shared" si="32"/>
        <v>5028</v>
      </c>
      <c r="AH109" s="14">
        <v>865</v>
      </c>
      <c r="AI109" s="14">
        <v>1149</v>
      </c>
      <c r="AJ109" s="14">
        <v>2405</v>
      </c>
      <c r="AK109" s="14">
        <v>609</v>
      </c>
      <c r="AL109" s="14"/>
      <c r="AM109" s="14"/>
      <c r="AN109" s="14">
        <v>1000</v>
      </c>
      <c r="AO109" s="14">
        <v>500</v>
      </c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2">
        <v>5180</v>
      </c>
    </row>
    <row r="110" spans="1:56" ht="25.5">
      <c r="A110" s="10">
        <v>571001</v>
      </c>
      <c r="B110" s="11" t="s">
        <v>172</v>
      </c>
      <c r="C110" s="12">
        <f t="shared" si="27"/>
        <v>3530</v>
      </c>
      <c r="D110" s="12">
        <v>3530</v>
      </c>
      <c r="E110" s="12"/>
      <c r="F110" s="12"/>
      <c r="G110" s="12">
        <f t="shared" si="28"/>
        <v>2900</v>
      </c>
      <c r="H110" s="12">
        <v>2900</v>
      </c>
      <c r="I110" s="12"/>
      <c r="J110" s="14">
        <f t="shared" si="24"/>
        <v>99648</v>
      </c>
      <c r="K110" s="14">
        <f t="shared" si="29"/>
        <v>35188</v>
      </c>
      <c r="L110" s="14">
        <f t="shared" si="30"/>
        <v>16056</v>
      </c>
      <c r="M110" s="14">
        <v>6814</v>
      </c>
      <c r="N110" s="14">
        <v>9242</v>
      </c>
      <c r="O110" s="14">
        <f t="shared" si="31"/>
        <v>19132</v>
      </c>
      <c r="P110" s="14">
        <v>16328</v>
      </c>
      <c r="Q110" s="14"/>
      <c r="R110" s="14">
        <v>2638</v>
      </c>
      <c r="S110" s="14">
        <v>166</v>
      </c>
      <c r="T110" s="14"/>
      <c r="U110" s="14">
        <f t="shared" si="25"/>
        <v>64460</v>
      </c>
      <c r="V110" s="23">
        <f>63012-2960+3758</f>
        <v>63810</v>
      </c>
      <c r="W110" s="14">
        <v>650</v>
      </c>
      <c r="X110" s="14"/>
      <c r="Y110" s="14">
        <v>16520</v>
      </c>
      <c r="Z110" s="14">
        <f t="shared" si="26"/>
        <v>70500</v>
      </c>
      <c r="AA110" s="23">
        <f>66790+3710-3758</f>
        <v>66742</v>
      </c>
      <c r="AB110" s="14"/>
      <c r="AC110" s="14">
        <v>3758</v>
      </c>
      <c r="AD110" s="14"/>
      <c r="AE110" s="14"/>
      <c r="AF110" s="14"/>
      <c r="AG110" s="14">
        <f t="shared" si="32"/>
        <v>12885</v>
      </c>
      <c r="AH110" s="14">
        <v>2218</v>
      </c>
      <c r="AI110" s="14">
        <v>2944</v>
      </c>
      <c r="AJ110" s="14">
        <v>6164</v>
      </c>
      <c r="AK110" s="14">
        <v>1559</v>
      </c>
      <c r="AL110" s="14"/>
      <c r="AM110" s="14"/>
      <c r="AN110" s="14">
        <v>10000</v>
      </c>
      <c r="AO110" s="14">
        <v>2000</v>
      </c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2">
        <v>13740</v>
      </c>
    </row>
    <row r="111" spans="1:56" ht="25.5">
      <c r="A111" s="10">
        <v>581001</v>
      </c>
      <c r="B111" s="11" t="s">
        <v>173</v>
      </c>
      <c r="C111" s="12">
        <f t="shared" si="27"/>
        <v>2000</v>
      </c>
      <c r="D111" s="13">
        <f>1800+200</f>
        <v>2000</v>
      </c>
      <c r="E111" s="12"/>
      <c r="F111" s="12"/>
      <c r="G111" s="12">
        <f t="shared" si="28"/>
        <v>1580</v>
      </c>
      <c r="H111" s="13">
        <f>1400+180</f>
        <v>1580</v>
      </c>
      <c r="I111" s="12"/>
      <c r="J111" s="14">
        <f t="shared" si="24"/>
        <v>34450</v>
      </c>
      <c r="K111" s="14">
        <f t="shared" si="29"/>
        <v>11970</v>
      </c>
      <c r="L111" s="14">
        <f t="shared" si="30"/>
        <v>5559</v>
      </c>
      <c r="M111" s="14">
        <v>2292</v>
      </c>
      <c r="N111" s="14">
        <v>3267</v>
      </c>
      <c r="O111" s="14">
        <f t="shared" si="31"/>
        <v>6411</v>
      </c>
      <c r="P111" s="14">
        <v>5690</v>
      </c>
      <c r="Q111" s="14"/>
      <c r="R111" s="14">
        <v>676</v>
      </c>
      <c r="S111" s="14">
        <v>45</v>
      </c>
      <c r="T111" s="14"/>
      <c r="U111" s="14">
        <f t="shared" si="25"/>
        <v>22480</v>
      </c>
      <c r="V111" s="23">
        <f>21981-1010+1309</f>
        <v>22280</v>
      </c>
      <c r="W111" s="14">
        <v>200</v>
      </c>
      <c r="X111" s="14"/>
      <c r="Y111" s="14">
        <v>5740</v>
      </c>
      <c r="Z111" s="14">
        <f t="shared" si="26"/>
        <v>24550</v>
      </c>
      <c r="AA111" s="23">
        <f>23250+1300-1309</f>
        <v>23241</v>
      </c>
      <c r="AB111" s="14"/>
      <c r="AC111" s="14">
        <v>1309</v>
      </c>
      <c r="AD111" s="14"/>
      <c r="AE111" s="14"/>
      <c r="AF111" s="14"/>
      <c r="AG111" s="14">
        <f t="shared" si="32"/>
        <v>4455</v>
      </c>
      <c r="AH111" s="14">
        <v>767</v>
      </c>
      <c r="AI111" s="14">
        <v>1018</v>
      </c>
      <c r="AJ111" s="14">
        <v>2131</v>
      </c>
      <c r="AK111" s="14">
        <v>539</v>
      </c>
      <c r="AL111" s="14"/>
      <c r="AM111" s="14"/>
      <c r="AN111" s="14">
        <v>1000</v>
      </c>
      <c r="AO111" s="14">
        <v>400</v>
      </c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2">
        <v>4880</v>
      </c>
    </row>
    <row r="112" spans="1:56" ht="51">
      <c r="A112" s="10">
        <v>591001</v>
      </c>
      <c r="B112" s="11" t="s">
        <v>174</v>
      </c>
      <c r="C112" s="12">
        <f t="shared" si="27"/>
        <v>2500</v>
      </c>
      <c r="D112" s="12">
        <v>2500</v>
      </c>
      <c r="E112" s="12"/>
      <c r="F112" s="12"/>
      <c r="G112" s="12">
        <f t="shared" si="28"/>
        <v>2000</v>
      </c>
      <c r="H112" s="12">
        <v>2000</v>
      </c>
      <c r="I112" s="12"/>
      <c r="J112" s="14">
        <f t="shared" si="24"/>
        <v>60709</v>
      </c>
      <c r="K112" s="14">
        <f t="shared" si="29"/>
        <v>21309</v>
      </c>
      <c r="L112" s="14">
        <f t="shared" si="30"/>
        <v>9703</v>
      </c>
      <c r="M112" s="14">
        <v>4036</v>
      </c>
      <c r="N112" s="14">
        <v>5667</v>
      </c>
      <c r="O112" s="14">
        <f t="shared" si="31"/>
        <v>11606</v>
      </c>
      <c r="P112" s="14">
        <v>9984</v>
      </c>
      <c r="Q112" s="14"/>
      <c r="R112" s="14">
        <v>1434</v>
      </c>
      <c r="S112" s="14">
        <v>84</v>
      </c>
      <c r="T112" s="14">
        <v>104</v>
      </c>
      <c r="U112" s="14">
        <f t="shared" si="25"/>
        <v>39400</v>
      </c>
      <c r="V112" s="23">
        <f>38522-1420+2298</f>
        <v>39400</v>
      </c>
      <c r="W112" s="14"/>
      <c r="X112" s="14"/>
      <c r="Y112" s="14">
        <v>10070</v>
      </c>
      <c r="Z112" s="14">
        <f t="shared" si="26"/>
        <v>43040</v>
      </c>
      <c r="AA112" s="23">
        <f>40770+2270-2298</f>
        <v>40742</v>
      </c>
      <c r="AB112" s="14"/>
      <c r="AC112" s="14">
        <v>2298</v>
      </c>
      <c r="AD112" s="14"/>
      <c r="AE112" s="14"/>
      <c r="AF112" s="14"/>
      <c r="AG112" s="14">
        <f t="shared" si="32"/>
        <v>7825</v>
      </c>
      <c r="AH112" s="14">
        <v>1347</v>
      </c>
      <c r="AI112" s="14">
        <v>1788</v>
      </c>
      <c r="AJ112" s="14">
        <v>3743</v>
      </c>
      <c r="AK112" s="14">
        <v>947</v>
      </c>
      <c r="AL112" s="14"/>
      <c r="AM112" s="14"/>
      <c r="AN112" s="14">
        <v>2000</v>
      </c>
      <c r="AO112" s="14">
        <v>500</v>
      </c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2">
        <v>8450</v>
      </c>
    </row>
    <row r="113" spans="1:56" ht="38.25">
      <c r="A113" s="10">
        <v>601001</v>
      </c>
      <c r="B113" s="11" t="s">
        <v>175</v>
      </c>
      <c r="C113" s="12">
        <f t="shared" si="27"/>
        <v>9200</v>
      </c>
      <c r="D113" s="12">
        <v>9200</v>
      </c>
      <c r="E113" s="12"/>
      <c r="F113" s="12"/>
      <c r="G113" s="12">
        <f t="shared" si="28"/>
        <v>3800</v>
      </c>
      <c r="H113" s="12">
        <v>3800</v>
      </c>
      <c r="I113" s="12"/>
      <c r="J113" s="14">
        <f t="shared" si="24"/>
        <v>109507</v>
      </c>
      <c r="K113" s="14">
        <f t="shared" si="29"/>
        <v>38307</v>
      </c>
      <c r="L113" s="14">
        <f t="shared" si="30"/>
        <v>15855</v>
      </c>
      <c r="M113" s="14">
        <v>6805</v>
      </c>
      <c r="N113" s="14">
        <v>9050</v>
      </c>
      <c r="O113" s="14">
        <f t="shared" si="31"/>
        <v>22452</v>
      </c>
      <c r="P113" s="14">
        <v>19839</v>
      </c>
      <c r="Q113" s="14"/>
      <c r="R113" s="14">
        <v>2214</v>
      </c>
      <c r="S113" s="14">
        <v>141</v>
      </c>
      <c r="T113" s="14">
        <v>258</v>
      </c>
      <c r="U113" s="14">
        <f t="shared" si="25"/>
        <v>71200</v>
      </c>
      <c r="V113" s="23">
        <f>69144-2510+4566</f>
        <v>71200</v>
      </c>
      <c r="W113" s="14"/>
      <c r="X113" s="14"/>
      <c r="Y113" s="14">
        <v>18590</v>
      </c>
      <c r="Z113" s="14">
        <f t="shared" si="26"/>
        <v>79880</v>
      </c>
      <c r="AA113" s="23">
        <f>71780+4100-4566</f>
        <v>71314</v>
      </c>
      <c r="AB113" s="14">
        <v>4000</v>
      </c>
      <c r="AC113" s="14">
        <v>4566</v>
      </c>
      <c r="AD113" s="14"/>
      <c r="AE113" s="14"/>
      <c r="AF113" s="14"/>
      <c r="AG113" s="14">
        <f t="shared" si="32"/>
        <v>15047</v>
      </c>
      <c r="AH113" s="14">
        <v>2590</v>
      </c>
      <c r="AI113" s="14">
        <v>3438</v>
      </c>
      <c r="AJ113" s="14">
        <v>7198</v>
      </c>
      <c r="AK113" s="14">
        <v>1821</v>
      </c>
      <c r="AL113" s="14">
        <v>2960</v>
      </c>
      <c r="AM113" s="14"/>
      <c r="AN113" s="14">
        <v>3500</v>
      </c>
      <c r="AO113" s="14">
        <v>1000</v>
      </c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2">
        <v>16000</v>
      </c>
    </row>
    <row r="114" spans="1:56">
      <c r="A114" s="10">
        <v>605301</v>
      </c>
      <c r="B114" s="11" t="s">
        <v>176</v>
      </c>
      <c r="C114" s="12"/>
      <c r="D114" s="12"/>
      <c r="E114" s="12"/>
      <c r="F114" s="12"/>
      <c r="G114" s="12">
        <f t="shared" si="28"/>
        <v>0</v>
      </c>
      <c r="H114" s="12"/>
      <c r="I114" s="12"/>
      <c r="J114" s="14">
        <f t="shared" si="24"/>
        <v>17890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>
        <f t="shared" si="25"/>
        <v>17890</v>
      </c>
      <c r="V114" s="14">
        <v>17890</v>
      </c>
      <c r="W114" s="14"/>
      <c r="X114" s="14"/>
      <c r="Y114" s="14">
        <v>5750</v>
      </c>
      <c r="Z114" s="14">
        <f t="shared" si="26"/>
        <v>5050</v>
      </c>
      <c r="AA114" s="14">
        <v>5050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2"/>
    </row>
    <row r="115" spans="1:56" ht="25.5">
      <c r="A115" s="10">
        <v>611001</v>
      </c>
      <c r="B115" s="11" t="s">
        <v>177</v>
      </c>
      <c r="C115" s="12">
        <f>D115+E115+F115</f>
        <v>4400</v>
      </c>
      <c r="D115" s="12">
        <v>4400</v>
      </c>
      <c r="E115" s="12"/>
      <c r="F115" s="12"/>
      <c r="G115" s="12">
        <f t="shared" si="28"/>
        <v>1400</v>
      </c>
      <c r="H115" s="12">
        <v>1400</v>
      </c>
      <c r="I115" s="12"/>
      <c r="J115" s="14">
        <f t="shared" si="24"/>
        <v>85229</v>
      </c>
      <c r="K115" s="14">
        <f>L115+O115</f>
        <v>29259</v>
      </c>
      <c r="L115" s="14">
        <f>M115+N115</f>
        <v>13925</v>
      </c>
      <c r="M115" s="14">
        <v>5635</v>
      </c>
      <c r="N115" s="14">
        <v>8290</v>
      </c>
      <c r="O115" s="14">
        <f>P115+R115+S115+T115</f>
        <v>15334</v>
      </c>
      <c r="P115" s="14">
        <v>13623</v>
      </c>
      <c r="Q115" s="14"/>
      <c r="R115" s="14">
        <v>1593</v>
      </c>
      <c r="S115" s="14">
        <v>118</v>
      </c>
      <c r="T115" s="14"/>
      <c r="U115" s="14">
        <f t="shared" si="25"/>
        <v>55970</v>
      </c>
      <c r="V115" s="23">
        <f>54835-2300+3135</f>
        <v>55670</v>
      </c>
      <c r="W115" s="14">
        <v>300</v>
      </c>
      <c r="X115" s="14"/>
      <c r="Y115" s="14">
        <v>14070</v>
      </c>
      <c r="Z115" s="14">
        <f t="shared" si="26"/>
        <v>60690</v>
      </c>
      <c r="AA115" s="23">
        <f>57490+3200-3135</f>
        <v>57555</v>
      </c>
      <c r="AB115" s="14"/>
      <c r="AC115" s="14">
        <v>3135</v>
      </c>
      <c r="AD115" s="14"/>
      <c r="AE115" s="14"/>
      <c r="AF115" s="14"/>
      <c r="AG115" s="14">
        <f>AH115+AI115+AJ115+AK115</f>
        <v>10729</v>
      </c>
      <c r="AH115" s="14">
        <v>1847</v>
      </c>
      <c r="AI115" s="14">
        <v>2451</v>
      </c>
      <c r="AJ115" s="14">
        <v>5133</v>
      </c>
      <c r="AK115" s="14">
        <v>1298</v>
      </c>
      <c r="AL115" s="14"/>
      <c r="AM115" s="14"/>
      <c r="AN115" s="14">
        <v>3500</v>
      </c>
      <c r="AO115" s="14">
        <v>800</v>
      </c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2">
        <v>13230</v>
      </c>
    </row>
    <row r="116" spans="1:56" ht="25.5">
      <c r="A116" s="10">
        <v>615301</v>
      </c>
      <c r="B116" s="11" t="s">
        <v>178</v>
      </c>
      <c r="C116" s="12"/>
      <c r="D116" s="12"/>
      <c r="E116" s="12"/>
      <c r="F116" s="12"/>
      <c r="G116" s="12"/>
      <c r="H116" s="12"/>
      <c r="I116" s="12"/>
      <c r="J116" s="14">
        <f t="shared" si="24"/>
        <v>17700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>
        <f t="shared" si="25"/>
        <v>17700</v>
      </c>
      <c r="V116" s="14">
        <v>17700</v>
      </c>
      <c r="W116" s="14"/>
      <c r="X116" s="14"/>
      <c r="Y116" s="14">
        <v>5680</v>
      </c>
      <c r="Z116" s="14">
        <f t="shared" si="26"/>
        <v>2850</v>
      </c>
      <c r="AA116" s="14">
        <v>2850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2"/>
    </row>
    <row r="117" spans="1:56" ht="25.5">
      <c r="A117" s="10">
        <v>621001</v>
      </c>
      <c r="B117" s="11" t="s">
        <v>179</v>
      </c>
      <c r="C117" s="12">
        <f>D117+E117+F117</f>
        <v>1360</v>
      </c>
      <c r="D117" s="13">
        <f>1300+60</f>
        <v>1360</v>
      </c>
      <c r="E117" s="12"/>
      <c r="F117" s="12"/>
      <c r="G117" s="12">
        <f>H117+I117</f>
        <v>920</v>
      </c>
      <c r="H117" s="13">
        <f>700+220</f>
        <v>920</v>
      </c>
      <c r="I117" s="12"/>
      <c r="J117" s="14">
        <f t="shared" si="24"/>
        <v>27473</v>
      </c>
      <c r="K117" s="14">
        <f>L117+O117</f>
        <v>9963</v>
      </c>
      <c r="L117" s="14">
        <f>M117+N117</f>
        <v>4096</v>
      </c>
      <c r="M117" s="14">
        <v>1853</v>
      </c>
      <c r="N117" s="14">
        <v>2243</v>
      </c>
      <c r="O117" s="14">
        <f>P117+R117+S117+T117</f>
        <v>5867</v>
      </c>
      <c r="P117" s="14">
        <v>4907</v>
      </c>
      <c r="Q117" s="14"/>
      <c r="R117" s="14">
        <v>939</v>
      </c>
      <c r="S117" s="14">
        <v>21</v>
      </c>
      <c r="T117" s="14"/>
      <c r="U117" s="14">
        <f t="shared" si="25"/>
        <v>17510</v>
      </c>
      <c r="V117" s="23">
        <f>17001-620+1129</f>
        <v>17510</v>
      </c>
      <c r="W117" s="14"/>
      <c r="X117" s="14"/>
      <c r="Y117" s="14">
        <v>4660</v>
      </c>
      <c r="Z117" s="14">
        <f t="shared" si="26"/>
        <v>19490</v>
      </c>
      <c r="AA117" s="23">
        <f>18460+1030-1129</f>
        <v>18361</v>
      </c>
      <c r="AB117" s="14"/>
      <c r="AC117" s="14">
        <v>1129</v>
      </c>
      <c r="AD117" s="14"/>
      <c r="AE117" s="14"/>
      <c r="AF117" s="14"/>
      <c r="AG117" s="14">
        <f>AH117+AI117+AJ117+AK117</f>
        <v>3792</v>
      </c>
      <c r="AH117" s="14">
        <v>653</v>
      </c>
      <c r="AI117" s="14">
        <v>866</v>
      </c>
      <c r="AJ117" s="14">
        <v>1814</v>
      </c>
      <c r="AK117" s="14">
        <v>459</v>
      </c>
      <c r="AL117" s="14"/>
      <c r="AM117" s="14"/>
      <c r="AN117" s="14">
        <v>100</v>
      </c>
      <c r="AO117" s="14">
        <v>600</v>
      </c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2">
        <v>3960</v>
      </c>
    </row>
    <row r="118" spans="1:56" ht="25.5">
      <c r="A118" s="10">
        <v>711001</v>
      </c>
      <c r="B118" s="11" t="s">
        <v>180</v>
      </c>
      <c r="C118" s="12">
        <f>D118+E118+F118</f>
        <v>4400</v>
      </c>
      <c r="D118" s="12">
        <f>4000-175</f>
        <v>3825</v>
      </c>
      <c r="E118" s="12">
        <v>175</v>
      </c>
      <c r="F118" s="12">
        <v>400</v>
      </c>
      <c r="G118" s="12">
        <f>H118+I118</f>
        <v>3000</v>
      </c>
      <c r="H118" s="12">
        <v>3000</v>
      </c>
      <c r="I118" s="12"/>
      <c r="J118" s="14">
        <f t="shared" si="24"/>
        <v>39893</v>
      </c>
      <c r="K118" s="14">
        <f>L118+O118</f>
        <v>16933</v>
      </c>
      <c r="L118" s="14">
        <f>M118+N118</f>
        <v>4169</v>
      </c>
      <c r="M118" s="14">
        <v>4169</v>
      </c>
      <c r="N118" s="14"/>
      <c r="O118" s="14">
        <f>P118+R118+S118+T118</f>
        <v>12764</v>
      </c>
      <c r="P118" s="14">
        <v>11063</v>
      </c>
      <c r="Q118" s="14"/>
      <c r="R118" s="14">
        <v>1701</v>
      </c>
      <c r="S118" s="14"/>
      <c r="T118" s="14"/>
      <c r="U118" s="14">
        <f t="shared" si="25"/>
        <v>22960</v>
      </c>
      <c r="V118" s="23">
        <f>21234-820+2546</f>
        <v>22960</v>
      </c>
      <c r="W118" s="14"/>
      <c r="X118" s="14"/>
      <c r="Y118" s="14">
        <v>8280</v>
      </c>
      <c r="Z118" s="14">
        <f t="shared" si="26"/>
        <v>29660</v>
      </c>
      <c r="AA118" s="23">
        <f>28090+1570-2546</f>
        <v>27114</v>
      </c>
      <c r="AB118" s="14"/>
      <c r="AC118" s="14">
        <v>2546</v>
      </c>
      <c r="AD118" s="14"/>
      <c r="AE118" s="14"/>
      <c r="AF118" s="14"/>
      <c r="AG118" s="14">
        <f>AH118+AI118+AJ118+AK118</f>
        <v>8544</v>
      </c>
      <c r="AH118" s="14">
        <v>1471</v>
      </c>
      <c r="AI118" s="14">
        <v>1952</v>
      </c>
      <c r="AJ118" s="14">
        <v>4087</v>
      </c>
      <c r="AK118" s="14">
        <v>1034</v>
      </c>
      <c r="AL118" s="14">
        <v>300</v>
      </c>
      <c r="AM118" s="14">
        <v>450</v>
      </c>
      <c r="AN118" s="14">
        <v>4100</v>
      </c>
      <c r="AO118" s="14">
        <v>500</v>
      </c>
      <c r="AP118" s="14"/>
      <c r="AQ118" s="14">
        <v>100</v>
      </c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2"/>
    </row>
    <row r="119" spans="1:56" ht="38.25">
      <c r="A119" s="10">
        <v>731002</v>
      </c>
      <c r="B119" s="11" t="s">
        <v>181</v>
      </c>
      <c r="C119" s="12"/>
      <c r="D119" s="12"/>
      <c r="E119" s="12"/>
      <c r="F119" s="12"/>
      <c r="G119" s="12"/>
      <c r="H119" s="12"/>
      <c r="I119" s="12"/>
      <c r="J119" s="14">
        <f t="shared" si="24"/>
        <v>5830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f t="shared" si="25"/>
        <v>5830</v>
      </c>
      <c r="V119" s="14">
        <v>5830</v>
      </c>
      <c r="W119" s="14"/>
      <c r="X119" s="14"/>
      <c r="Y119" s="14">
        <v>160</v>
      </c>
      <c r="Z119" s="14">
        <f t="shared" si="26"/>
        <v>3800</v>
      </c>
      <c r="AA119" s="14">
        <v>3800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2"/>
    </row>
    <row r="120" spans="1:56" ht="38.25">
      <c r="A120" s="10">
        <v>741904</v>
      </c>
      <c r="B120" s="11" t="s">
        <v>182</v>
      </c>
      <c r="C120" s="12"/>
      <c r="D120" s="12"/>
      <c r="E120" s="12"/>
      <c r="F120" s="12"/>
      <c r="G120" s="12">
        <f>H120+I120</f>
        <v>200</v>
      </c>
      <c r="H120" s="12">
        <v>200</v>
      </c>
      <c r="I120" s="12"/>
      <c r="J120" s="14">
        <f t="shared" si="24"/>
        <v>4530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f t="shared" si="25"/>
        <v>4530</v>
      </c>
      <c r="V120" s="14">
        <v>4530</v>
      </c>
      <c r="W120" s="14"/>
      <c r="X120" s="14"/>
      <c r="Y120" s="14">
        <v>320</v>
      </c>
      <c r="Z120" s="14">
        <f t="shared" si="26"/>
        <v>3890</v>
      </c>
      <c r="AA120" s="14">
        <v>3890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>
        <v>300</v>
      </c>
      <c r="AM120" s="14"/>
      <c r="AN120" s="14">
        <v>300</v>
      </c>
      <c r="AO120" s="14">
        <v>100</v>
      </c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2"/>
    </row>
    <row r="121" spans="1:56" ht="38.25">
      <c r="A121" s="10">
        <v>761907</v>
      </c>
      <c r="B121" s="11" t="s">
        <v>183</v>
      </c>
      <c r="C121" s="12">
        <f>D121+E121+F121</f>
        <v>100</v>
      </c>
      <c r="D121" s="12"/>
      <c r="E121" s="12"/>
      <c r="F121" s="12">
        <v>100</v>
      </c>
      <c r="G121" s="12"/>
      <c r="H121" s="12"/>
      <c r="I121" s="12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2"/>
    </row>
    <row r="122" spans="1:56" ht="25.5">
      <c r="A122" s="10">
        <v>801926</v>
      </c>
      <c r="B122" s="11" t="s">
        <v>184</v>
      </c>
      <c r="C122" s="12">
        <f>D122+E122+F122</f>
        <v>10</v>
      </c>
      <c r="D122" s="12">
        <v>10</v>
      </c>
      <c r="E122" s="12"/>
      <c r="F122" s="12"/>
      <c r="G122" s="12">
        <f>H122+I122</f>
        <v>291</v>
      </c>
      <c r="H122" s="12">
        <v>291</v>
      </c>
      <c r="I122" s="12"/>
      <c r="J122" s="14">
        <f>K122+U122</f>
        <v>30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f>V122+W122+X122</f>
        <v>30</v>
      </c>
      <c r="V122" s="14">
        <v>30</v>
      </c>
      <c r="W122" s="14"/>
      <c r="X122" s="14"/>
      <c r="Y122" s="14"/>
      <c r="Z122" s="14">
        <f>AA122+AB122+AD122+AE122+AC122</f>
        <v>60</v>
      </c>
      <c r="AA122" s="14">
        <v>60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2"/>
    </row>
    <row r="123" spans="1:56" ht="25.5">
      <c r="A123" s="10">
        <v>801933</v>
      </c>
      <c r="B123" s="11" t="s">
        <v>185</v>
      </c>
      <c r="C123" s="12">
        <f>D123+E123+F123</f>
        <v>0</v>
      </c>
      <c r="D123" s="12">
        <v>0</v>
      </c>
      <c r="E123" s="12"/>
      <c r="F123" s="12"/>
      <c r="G123" s="12"/>
      <c r="H123" s="12"/>
      <c r="I123" s="12"/>
      <c r="J123" s="14">
        <f>K123+U123</f>
        <v>220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f>V123+W123+X123</f>
        <v>220</v>
      </c>
      <c r="V123" s="14">
        <v>220</v>
      </c>
      <c r="W123" s="14"/>
      <c r="X123" s="14"/>
      <c r="Y123" s="14"/>
      <c r="Z123" s="14">
        <f>AA123+AB123+AD123+AE123+AC123</f>
        <v>2470</v>
      </c>
      <c r="AA123" s="14">
        <v>2470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>
        <v>1500</v>
      </c>
      <c r="AO123" s="14">
        <v>600</v>
      </c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2"/>
    </row>
    <row r="124" spans="1:56">
      <c r="A124" s="10">
        <v>801934</v>
      </c>
      <c r="B124" s="11" t="s">
        <v>186</v>
      </c>
      <c r="C124" s="12"/>
      <c r="D124" s="12"/>
      <c r="E124" s="12"/>
      <c r="F124" s="12"/>
      <c r="G124" s="12">
        <f>H124+I124</f>
        <v>100</v>
      </c>
      <c r="H124" s="12">
        <v>100</v>
      </c>
      <c r="I124" s="12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>
        <v>0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2"/>
    </row>
    <row r="125" spans="1:56" ht="25.5">
      <c r="A125" s="10">
        <v>801942</v>
      </c>
      <c r="B125" s="11" t="s">
        <v>187</v>
      </c>
      <c r="C125" s="12">
        <f>D125+E125+F125</f>
        <v>1120</v>
      </c>
      <c r="D125" s="12">
        <f>1120-280</f>
        <v>840</v>
      </c>
      <c r="E125" s="12">
        <v>280</v>
      </c>
      <c r="F125" s="12"/>
      <c r="G125" s="12">
        <f>H125+I125</f>
        <v>1100</v>
      </c>
      <c r="H125" s="12">
        <v>1100</v>
      </c>
      <c r="I125" s="12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>
        <f>AA125+AB125+AD125+AE125+AC125</f>
        <v>600</v>
      </c>
      <c r="AA125" s="14">
        <v>600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>
        <v>500</v>
      </c>
      <c r="AM125" s="14"/>
      <c r="AN125" s="14">
        <v>0</v>
      </c>
      <c r="AO125" s="14">
        <v>0</v>
      </c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2"/>
    </row>
    <row r="126" spans="1:56">
      <c r="A126" s="10">
        <v>801943</v>
      </c>
      <c r="B126" s="11" t="s">
        <v>0</v>
      </c>
      <c r="C126" s="12"/>
      <c r="D126" s="12"/>
      <c r="E126" s="12"/>
      <c r="F126" s="12"/>
      <c r="G126" s="12">
        <f>H126+I126</f>
        <v>138</v>
      </c>
      <c r="H126" s="12">
        <v>138</v>
      </c>
      <c r="I126" s="12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2"/>
    </row>
    <row r="127" spans="1:56" ht="25.5">
      <c r="A127" s="10">
        <v>801947</v>
      </c>
      <c r="B127" s="11" t="s">
        <v>188</v>
      </c>
      <c r="C127" s="12">
        <f>D127+E127+F127</f>
        <v>30</v>
      </c>
      <c r="D127" s="12">
        <v>30</v>
      </c>
      <c r="E127" s="12"/>
      <c r="F127" s="12"/>
      <c r="G127" s="12"/>
      <c r="H127" s="12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2"/>
    </row>
    <row r="128" spans="1:56" ht="25.5">
      <c r="A128" s="10">
        <v>801949</v>
      </c>
      <c r="B128" s="11" t="s">
        <v>189</v>
      </c>
      <c r="C128" s="12"/>
      <c r="D128" s="12"/>
      <c r="E128" s="12"/>
      <c r="F128" s="12"/>
      <c r="G128" s="12">
        <f>H128+I128</f>
        <v>1000</v>
      </c>
      <c r="H128" s="12">
        <f>1200-200</f>
        <v>1000</v>
      </c>
      <c r="I128" s="12"/>
      <c r="J128" s="14">
        <f t="shared" ref="J128:J139" si="33">K128+U128</f>
        <v>2610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f t="shared" ref="U128:U139" si="34">V128+W128+X128</f>
        <v>2610</v>
      </c>
      <c r="V128" s="14">
        <v>2610</v>
      </c>
      <c r="W128" s="14"/>
      <c r="X128" s="14"/>
      <c r="Y128" s="14"/>
      <c r="Z128" s="14">
        <f t="shared" ref="Z128:Z139" si="35">AA128+AB128+AD128+AE128+AC128</f>
        <v>1930</v>
      </c>
      <c r="AA128" s="14">
        <v>1930</v>
      </c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2"/>
    </row>
    <row r="129" spans="1:56">
      <c r="A129" s="10">
        <v>801951</v>
      </c>
      <c r="B129" s="11" t="s">
        <v>190</v>
      </c>
      <c r="C129" s="12"/>
      <c r="D129" s="12"/>
      <c r="E129" s="12"/>
      <c r="F129" s="12"/>
      <c r="G129" s="12">
        <f>H129+I129</f>
        <v>100</v>
      </c>
      <c r="H129" s="12">
        <v>100</v>
      </c>
      <c r="I129" s="12"/>
      <c r="J129" s="14">
        <f t="shared" si="33"/>
        <v>100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f t="shared" si="34"/>
        <v>100</v>
      </c>
      <c r="V129" s="14">
        <v>100</v>
      </c>
      <c r="W129" s="14"/>
      <c r="X129" s="14"/>
      <c r="Y129" s="14">
        <v>3090</v>
      </c>
      <c r="Z129" s="14">
        <f t="shared" si="35"/>
        <v>3460</v>
      </c>
      <c r="AA129" s="14">
        <v>3460</v>
      </c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>
        <v>500</v>
      </c>
      <c r="AO129" s="14">
        <v>0</v>
      </c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2"/>
    </row>
    <row r="130" spans="1:56" ht="25.5">
      <c r="A130" s="10">
        <v>804501</v>
      </c>
      <c r="B130" s="11" t="s">
        <v>191</v>
      </c>
      <c r="C130" s="12"/>
      <c r="D130" s="12"/>
      <c r="E130" s="12"/>
      <c r="F130" s="12"/>
      <c r="G130" s="12"/>
      <c r="H130" s="12"/>
      <c r="I130" s="12"/>
      <c r="J130" s="14">
        <f t="shared" si="33"/>
        <v>370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f t="shared" si="34"/>
        <v>370</v>
      </c>
      <c r="V130" s="14">
        <v>370</v>
      </c>
      <c r="W130" s="14"/>
      <c r="X130" s="14"/>
      <c r="Y130" s="14">
        <v>420</v>
      </c>
      <c r="Z130" s="14">
        <f t="shared" si="35"/>
        <v>2370</v>
      </c>
      <c r="AA130" s="14">
        <v>2370</v>
      </c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2"/>
    </row>
    <row r="131" spans="1:56" ht="25.5">
      <c r="A131" s="10">
        <v>804504</v>
      </c>
      <c r="B131" s="11" t="s">
        <v>192</v>
      </c>
      <c r="C131" s="12"/>
      <c r="D131" s="12"/>
      <c r="E131" s="12"/>
      <c r="F131" s="12"/>
      <c r="G131" s="12">
        <f>H131+I131</f>
        <v>300</v>
      </c>
      <c r="H131" s="12">
        <v>300</v>
      </c>
      <c r="I131" s="12"/>
      <c r="J131" s="14">
        <f t="shared" si="33"/>
        <v>21710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f t="shared" si="34"/>
        <v>21710</v>
      </c>
      <c r="V131" s="14">
        <v>21710</v>
      </c>
      <c r="W131" s="14"/>
      <c r="X131" s="14"/>
      <c r="Y131" s="14">
        <v>230</v>
      </c>
      <c r="Z131" s="14">
        <f t="shared" si="35"/>
        <v>21020</v>
      </c>
      <c r="AA131" s="14">
        <v>21020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>
        <v>200</v>
      </c>
      <c r="AO131" s="14">
        <v>200</v>
      </c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2"/>
    </row>
    <row r="132" spans="1:56">
      <c r="A132" s="10">
        <v>805304</v>
      </c>
      <c r="B132" s="11" t="s">
        <v>193</v>
      </c>
      <c r="C132" s="12"/>
      <c r="D132" s="12"/>
      <c r="E132" s="12"/>
      <c r="F132" s="12"/>
      <c r="G132" s="12"/>
      <c r="H132" s="12"/>
      <c r="I132" s="12"/>
      <c r="J132" s="14">
        <f t="shared" si="33"/>
        <v>1500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f t="shared" si="34"/>
        <v>1500</v>
      </c>
      <c r="V132" s="14">
        <v>1500</v>
      </c>
      <c r="W132" s="14"/>
      <c r="X132" s="14"/>
      <c r="Y132" s="14">
        <v>1000</v>
      </c>
      <c r="Z132" s="14">
        <f t="shared" si="35"/>
        <v>80</v>
      </c>
      <c r="AA132" s="14">
        <v>80</v>
      </c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2"/>
    </row>
    <row r="133" spans="1:56" ht="25.5">
      <c r="A133" s="10">
        <v>805305</v>
      </c>
      <c r="B133" s="11" t="s">
        <v>194</v>
      </c>
      <c r="C133" s="12"/>
      <c r="D133" s="12"/>
      <c r="E133" s="12"/>
      <c r="F133" s="12"/>
      <c r="G133" s="12"/>
      <c r="H133" s="12"/>
      <c r="I133" s="12"/>
      <c r="J133" s="14">
        <f t="shared" si="33"/>
        <v>540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f t="shared" si="34"/>
        <v>540</v>
      </c>
      <c r="V133" s="14">
        <v>540</v>
      </c>
      <c r="W133" s="14"/>
      <c r="X133" s="14"/>
      <c r="Y133" s="14">
        <v>10</v>
      </c>
      <c r="Z133" s="14">
        <f t="shared" si="35"/>
        <v>1260</v>
      </c>
      <c r="AA133" s="14">
        <v>1260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2"/>
    </row>
    <row r="134" spans="1:56">
      <c r="A134" s="10">
        <v>805307</v>
      </c>
      <c r="B134" s="11" t="s">
        <v>195</v>
      </c>
      <c r="C134" s="12"/>
      <c r="D134" s="12"/>
      <c r="E134" s="12"/>
      <c r="F134" s="12"/>
      <c r="G134" s="12"/>
      <c r="H134" s="12"/>
      <c r="I134" s="12"/>
      <c r="J134" s="14">
        <f t="shared" si="33"/>
        <v>930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f t="shared" si="34"/>
        <v>930</v>
      </c>
      <c r="V134" s="14">
        <v>930</v>
      </c>
      <c r="W134" s="14"/>
      <c r="X134" s="14"/>
      <c r="Y134" s="14">
        <v>660</v>
      </c>
      <c r="Z134" s="14">
        <f t="shared" si="35"/>
        <v>1300</v>
      </c>
      <c r="AA134" s="14">
        <v>1300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2"/>
    </row>
    <row r="135" spans="1:56">
      <c r="A135" s="10">
        <v>805313</v>
      </c>
      <c r="B135" s="11" t="s">
        <v>196</v>
      </c>
      <c r="C135" s="12"/>
      <c r="D135" s="12"/>
      <c r="E135" s="12"/>
      <c r="F135" s="12"/>
      <c r="G135" s="12"/>
      <c r="H135" s="12"/>
      <c r="I135" s="12"/>
      <c r="J135" s="14">
        <f t="shared" si="33"/>
        <v>100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f t="shared" si="34"/>
        <v>100</v>
      </c>
      <c r="V135" s="14">
        <v>100</v>
      </c>
      <c r="W135" s="14"/>
      <c r="X135" s="14"/>
      <c r="Y135" s="14"/>
      <c r="Z135" s="14">
        <f t="shared" si="35"/>
        <v>380</v>
      </c>
      <c r="AA135" s="14">
        <v>380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2"/>
    </row>
    <row r="136" spans="1:56">
      <c r="A136" s="10">
        <v>805318</v>
      </c>
      <c r="B136" s="11" t="s">
        <v>197</v>
      </c>
      <c r="C136" s="12"/>
      <c r="D136" s="12"/>
      <c r="E136" s="12"/>
      <c r="F136" s="12"/>
      <c r="G136" s="12"/>
      <c r="H136" s="12"/>
      <c r="I136" s="12"/>
      <c r="J136" s="14">
        <f t="shared" si="33"/>
        <v>2870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f t="shared" si="34"/>
        <v>2870</v>
      </c>
      <c r="V136" s="14">
        <v>2870</v>
      </c>
      <c r="W136" s="14"/>
      <c r="X136" s="14"/>
      <c r="Y136" s="14">
        <v>600</v>
      </c>
      <c r="Z136" s="14">
        <f t="shared" si="35"/>
        <v>1620</v>
      </c>
      <c r="AA136" s="14">
        <v>1620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2"/>
    </row>
    <row r="137" spans="1:56">
      <c r="A137" s="10">
        <v>805333</v>
      </c>
      <c r="B137" s="11" t="s">
        <v>198</v>
      </c>
      <c r="C137" s="12"/>
      <c r="D137" s="12"/>
      <c r="E137" s="12"/>
      <c r="F137" s="12"/>
      <c r="G137" s="12"/>
      <c r="H137" s="12"/>
      <c r="I137" s="12"/>
      <c r="J137" s="14">
        <f t="shared" si="33"/>
        <v>2880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>
        <f t="shared" si="34"/>
        <v>2880</v>
      </c>
      <c r="V137" s="14">
        <v>2880</v>
      </c>
      <c r="W137" s="14"/>
      <c r="X137" s="14"/>
      <c r="Y137" s="14">
        <v>2100</v>
      </c>
      <c r="Z137" s="14">
        <f t="shared" si="35"/>
        <v>170</v>
      </c>
      <c r="AA137" s="14">
        <v>170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2"/>
    </row>
    <row r="138" spans="1:56">
      <c r="A138" s="10">
        <v>805340</v>
      </c>
      <c r="B138" s="11" t="s">
        <v>199</v>
      </c>
      <c r="C138" s="12"/>
      <c r="D138" s="12"/>
      <c r="E138" s="12"/>
      <c r="F138" s="12"/>
      <c r="G138" s="12"/>
      <c r="H138" s="12"/>
      <c r="I138" s="12"/>
      <c r="J138" s="14">
        <f t="shared" si="33"/>
        <v>590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>
        <f t="shared" si="34"/>
        <v>590</v>
      </c>
      <c r="V138" s="14">
        <v>590</v>
      </c>
      <c r="W138" s="14"/>
      <c r="X138" s="14"/>
      <c r="Y138" s="14">
        <v>110</v>
      </c>
      <c r="Z138" s="14">
        <f t="shared" si="35"/>
        <v>270</v>
      </c>
      <c r="AA138" s="14">
        <v>270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2"/>
    </row>
    <row r="139" spans="1:56" ht="25.5">
      <c r="A139" s="10">
        <v>805342</v>
      </c>
      <c r="B139" s="11" t="s">
        <v>200</v>
      </c>
      <c r="C139" s="12"/>
      <c r="D139" s="12"/>
      <c r="E139" s="12"/>
      <c r="F139" s="12"/>
      <c r="G139" s="12"/>
      <c r="H139" s="12"/>
      <c r="I139" s="12"/>
      <c r="J139" s="14">
        <f t="shared" si="33"/>
        <v>1100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>
        <f t="shared" si="34"/>
        <v>1100</v>
      </c>
      <c r="V139" s="14">
        <v>1100</v>
      </c>
      <c r="W139" s="14"/>
      <c r="X139" s="14"/>
      <c r="Y139" s="14">
        <v>330</v>
      </c>
      <c r="Z139" s="14">
        <f t="shared" si="35"/>
        <v>1010</v>
      </c>
      <c r="AA139" s="14">
        <v>1010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2"/>
    </row>
    <row r="140" spans="1:56" ht="25.5">
      <c r="A140" s="10">
        <v>805901</v>
      </c>
      <c r="B140" s="11" t="s">
        <v>201</v>
      </c>
      <c r="C140" s="12"/>
      <c r="D140" s="12"/>
      <c r="E140" s="12"/>
      <c r="F140" s="12"/>
      <c r="G140" s="12"/>
      <c r="H140" s="12"/>
      <c r="I140" s="12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>
        <v>0</v>
      </c>
      <c r="AO140" s="14">
        <v>0</v>
      </c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2"/>
    </row>
    <row r="141" spans="1:56">
      <c r="A141" s="10">
        <v>805903</v>
      </c>
      <c r="B141" s="11" t="s">
        <v>202</v>
      </c>
      <c r="C141" s="12"/>
      <c r="D141" s="12"/>
      <c r="E141" s="12"/>
      <c r="F141" s="12"/>
      <c r="G141" s="12"/>
      <c r="H141" s="12"/>
      <c r="I141" s="12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>
        <v>0</v>
      </c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2"/>
    </row>
    <row r="142" spans="1:56">
      <c r="A142" s="10">
        <v>805904</v>
      </c>
      <c r="B142" s="11" t="s">
        <v>72</v>
      </c>
      <c r="C142" s="12"/>
      <c r="D142" s="12"/>
      <c r="E142" s="12"/>
      <c r="F142" s="12"/>
      <c r="G142" s="12"/>
      <c r="H142" s="12"/>
      <c r="I142" s="12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>
        <v>300</v>
      </c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2"/>
    </row>
    <row r="143" spans="1:56" ht="25.5">
      <c r="A143" s="10">
        <v>805905</v>
      </c>
      <c r="B143" s="11" t="s">
        <v>70</v>
      </c>
      <c r="C143" s="12"/>
      <c r="D143" s="12"/>
      <c r="E143" s="12"/>
      <c r="F143" s="12"/>
      <c r="G143" s="12">
        <f>H143+I143</f>
        <v>0</v>
      </c>
      <c r="H143" s="12">
        <v>0</v>
      </c>
      <c r="I143" s="12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2"/>
    </row>
    <row r="144" spans="1:56" ht="25.5">
      <c r="A144" s="10">
        <v>805906</v>
      </c>
      <c r="B144" s="11" t="s">
        <v>73</v>
      </c>
      <c r="C144" s="12"/>
      <c r="D144" s="12"/>
      <c r="E144" s="12"/>
      <c r="F144" s="12"/>
      <c r="G144" s="12"/>
      <c r="H144" s="12"/>
      <c r="I144" s="12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2"/>
    </row>
    <row r="145" spans="1:56" ht="25.5">
      <c r="A145" s="10">
        <v>805908</v>
      </c>
      <c r="B145" s="11" t="s">
        <v>69</v>
      </c>
      <c r="C145" s="12"/>
      <c r="D145" s="12"/>
      <c r="E145" s="12"/>
      <c r="F145" s="12"/>
      <c r="G145" s="12"/>
      <c r="H145" s="12"/>
      <c r="I145" s="12"/>
      <c r="J145" s="14">
        <f>K145+U145</f>
        <v>50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>
        <f>V145+W145+X145</f>
        <v>50</v>
      </c>
      <c r="V145" s="14">
        <v>50</v>
      </c>
      <c r="W145" s="14"/>
      <c r="X145" s="14"/>
      <c r="Y145" s="14"/>
      <c r="Z145" s="14">
        <f>AA145+AB145+AD145+AE145+AC145</f>
        <v>20</v>
      </c>
      <c r="AA145" s="14">
        <v>20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2"/>
    </row>
    <row r="146" spans="1:56" ht="38.25">
      <c r="A146" s="10">
        <v>805915</v>
      </c>
      <c r="B146" s="18" t="s">
        <v>203</v>
      </c>
      <c r="C146" s="12"/>
      <c r="D146" s="12"/>
      <c r="E146" s="12"/>
      <c r="F146" s="12"/>
      <c r="G146" s="12"/>
      <c r="H146" s="12"/>
      <c r="I146" s="12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>
        <v>300</v>
      </c>
      <c r="AM146" s="14">
        <v>450</v>
      </c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2"/>
    </row>
    <row r="147" spans="1:56">
      <c r="A147" s="10">
        <v>805928</v>
      </c>
      <c r="B147" s="11" t="s">
        <v>71</v>
      </c>
      <c r="C147" s="12"/>
      <c r="D147" s="12"/>
      <c r="E147" s="12"/>
      <c r="F147" s="12"/>
      <c r="G147" s="12"/>
      <c r="H147" s="12"/>
      <c r="I147" s="12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>
        <v>300</v>
      </c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2"/>
    </row>
    <row r="148" spans="1:56" ht="25.5">
      <c r="A148" s="10">
        <v>805929</v>
      </c>
      <c r="B148" s="11" t="s">
        <v>204</v>
      </c>
      <c r="C148" s="12"/>
      <c r="D148" s="12"/>
      <c r="E148" s="12"/>
      <c r="F148" s="12"/>
      <c r="G148" s="12">
        <f>H148+I148</f>
        <v>0</v>
      </c>
      <c r="H148" s="12">
        <v>0</v>
      </c>
      <c r="I148" s="12"/>
      <c r="J148" s="14">
        <f>K148+U148</f>
        <v>850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>
        <f>V148+W148+X148</f>
        <v>850</v>
      </c>
      <c r="V148" s="14">
        <v>850</v>
      </c>
      <c r="W148" s="14"/>
      <c r="X148" s="14"/>
      <c r="Y148" s="14">
        <v>2900</v>
      </c>
      <c r="Z148" s="14">
        <f>AA148+AB148+AD148+AE148+AC148</f>
        <v>5800</v>
      </c>
      <c r="AA148" s="14">
        <v>5800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>
        <v>1000</v>
      </c>
      <c r="AO148" s="14">
        <v>0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2"/>
    </row>
    <row r="149" spans="1:56" ht="25.5">
      <c r="A149" s="10">
        <v>805934</v>
      </c>
      <c r="B149" s="11" t="s">
        <v>205</v>
      </c>
      <c r="C149" s="12"/>
      <c r="D149" s="12"/>
      <c r="E149" s="12"/>
      <c r="F149" s="12"/>
      <c r="G149" s="12">
        <f>H149+I149</f>
        <v>600</v>
      </c>
      <c r="H149" s="12">
        <v>600</v>
      </c>
      <c r="I149" s="12"/>
      <c r="J149" s="14">
        <f>K149+U149</f>
        <v>600</v>
      </c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f>V149+W149+X149</f>
        <v>600</v>
      </c>
      <c r="V149" s="14">
        <v>600</v>
      </c>
      <c r="W149" s="14"/>
      <c r="X149" s="14"/>
      <c r="Y149" s="14"/>
      <c r="Z149" s="14">
        <f>AA149+AB149+AD149+AE149+AC149</f>
        <v>2016</v>
      </c>
      <c r="AA149" s="14"/>
      <c r="AB149" s="14"/>
      <c r="AC149" s="14"/>
      <c r="AD149" s="23">
        <f>1800+120</f>
        <v>1920</v>
      </c>
      <c r="AE149" s="14">
        <v>96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2"/>
    </row>
    <row r="150" spans="1:56" ht="25.5">
      <c r="A150" s="10">
        <v>805935</v>
      </c>
      <c r="B150" s="11" t="s">
        <v>206</v>
      </c>
      <c r="C150" s="12"/>
      <c r="D150" s="12"/>
      <c r="E150" s="12"/>
      <c r="F150" s="12"/>
      <c r="G150" s="12">
        <f>H150+I150</f>
        <v>0</v>
      </c>
      <c r="H150" s="12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>
        <v>450</v>
      </c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2"/>
    </row>
    <row r="151" spans="1:56" ht="25.5">
      <c r="A151" s="10">
        <v>805938</v>
      </c>
      <c r="B151" s="11" t="s">
        <v>207</v>
      </c>
      <c r="C151" s="12"/>
      <c r="D151" s="12"/>
      <c r="E151" s="12"/>
      <c r="F151" s="12"/>
      <c r="G151" s="12">
        <f>H151+I151</f>
        <v>300</v>
      </c>
      <c r="H151" s="12">
        <v>300</v>
      </c>
      <c r="I151" s="12"/>
      <c r="J151" s="14">
        <f>K151+U151</f>
        <v>810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>
        <f>V151+W151+X151</f>
        <v>810</v>
      </c>
      <c r="V151" s="14">
        <v>810</v>
      </c>
      <c r="W151" s="14"/>
      <c r="X151" s="14"/>
      <c r="Y151" s="14">
        <v>520</v>
      </c>
      <c r="Z151" s="14">
        <f>AA151+AB151+AD151+AE151+AC151</f>
        <v>14920</v>
      </c>
      <c r="AA151" s="14">
        <v>14920</v>
      </c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>
        <v>2000</v>
      </c>
      <c r="AO151" s="14">
        <v>0</v>
      </c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2"/>
    </row>
    <row r="152" spans="1:56" ht="25.5">
      <c r="A152" s="10">
        <v>805950</v>
      </c>
      <c r="B152" s="11" t="s">
        <v>208</v>
      </c>
      <c r="C152" s="12"/>
      <c r="D152" s="12"/>
      <c r="E152" s="12"/>
      <c r="F152" s="12"/>
      <c r="G152" s="12">
        <f>H152+I152</f>
        <v>1100</v>
      </c>
      <c r="H152" s="12">
        <v>1100</v>
      </c>
      <c r="I152" s="12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>
        <f>AA152+AB152+AD152+AE152+AC152</f>
        <v>580</v>
      </c>
      <c r="AA152" s="14">
        <v>580</v>
      </c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>
        <v>650</v>
      </c>
      <c r="AN152" s="14">
        <v>0</v>
      </c>
      <c r="AO152" s="14">
        <v>150</v>
      </c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2"/>
    </row>
    <row r="153" spans="1:56" ht="25.5">
      <c r="A153" s="10">
        <v>805951</v>
      </c>
      <c r="B153" s="11" t="s">
        <v>209</v>
      </c>
      <c r="C153" s="12"/>
      <c r="D153" s="12"/>
      <c r="E153" s="12"/>
      <c r="F153" s="12"/>
      <c r="G153" s="12"/>
      <c r="H153" s="12"/>
      <c r="I153" s="12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>
        <v>450</v>
      </c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2"/>
    </row>
    <row r="154" spans="1:56" ht="25.5">
      <c r="A154" s="10">
        <v>805953</v>
      </c>
      <c r="B154" s="11" t="s">
        <v>210</v>
      </c>
      <c r="C154" s="12"/>
      <c r="D154" s="12"/>
      <c r="E154" s="12"/>
      <c r="F154" s="12"/>
      <c r="G154" s="12">
        <f>H154+I154</f>
        <v>280</v>
      </c>
      <c r="H154" s="12">
        <v>280</v>
      </c>
      <c r="I154" s="12"/>
      <c r="J154" s="14">
        <f>K154+U154</f>
        <v>600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>
        <f>V154+W154+X154</f>
        <v>600</v>
      </c>
      <c r="V154" s="14">
        <v>600</v>
      </c>
      <c r="W154" s="14"/>
      <c r="X154" s="14"/>
      <c r="Y154" s="14"/>
      <c r="Z154" s="14">
        <f>AA154+AB154+AD154+AE154+AC154</f>
        <v>840</v>
      </c>
      <c r="AA154" s="14"/>
      <c r="AB154" s="14"/>
      <c r="AC154" s="14"/>
      <c r="AD154" s="14">
        <v>840</v>
      </c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2"/>
    </row>
    <row r="155" spans="1:56">
      <c r="A155" s="10">
        <v>805955</v>
      </c>
      <c r="B155" s="11" t="s">
        <v>211</v>
      </c>
      <c r="C155" s="12"/>
      <c r="D155" s="12"/>
      <c r="E155" s="12"/>
      <c r="F155" s="12"/>
      <c r="G155" s="12"/>
      <c r="H155" s="12"/>
      <c r="I155" s="12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>
        <v>450</v>
      </c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2"/>
    </row>
    <row r="156" spans="1:56" ht="25.5">
      <c r="A156" s="10">
        <v>805956</v>
      </c>
      <c r="B156" s="11" t="s">
        <v>212</v>
      </c>
      <c r="C156" s="12"/>
      <c r="D156" s="12"/>
      <c r="E156" s="12"/>
      <c r="F156" s="12"/>
      <c r="G156" s="12"/>
      <c r="H156" s="12"/>
      <c r="I156" s="12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>
        <v>300</v>
      </c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2"/>
    </row>
    <row r="157" spans="1:56" ht="25.5">
      <c r="A157" s="10">
        <v>805957</v>
      </c>
      <c r="B157" s="11" t="s">
        <v>213</v>
      </c>
      <c r="C157" s="12"/>
      <c r="D157" s="12"/>
      <c r="E157" s="12"/>
      <c r="F157" s="12"/>
      <c r="G157" s="12"/>
      <c r="H157" s="12"/>
      <c r="I157" s="12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>
        <v>300</v>
      </c>
      <c r="AM157" s="14">
        <v>450</v>
      </c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2"/>
    </row>
    <row r="158" spans="1:56" ht="25.5">
      <c r="A158" s="10">
        <v>805960</v>
      </c>
      <c r="B158" s="11" t="s">
        <v>214</v>
      </c>
      <c r="C158" s="12"/>
      <c r="D158" s="12"/>
      <c r="E158" s="12"/>
      <c r="F158" s="12"/>
      <c r="G158" s="12">
        <f>H158+I158</f>
        <v>100</v>
      </c>
      <c r="H158" s="12">
        <v>100</v>
      </c>
      <c r="I158" s="12"/>
      <c r="J158" s="14">
        <f>K158+U158</f>
        <v>2060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f>V158+W158+X158</f>
        <v>2060</v>
      </c>
      <c r="V158" s="14">
        <v>2060</v>
      </c>
      <c r="W158" s="14"/>
      <c r="X158" s="14"/>
      <c r="Y158" s="14">
        <v>27860</v>
      </c>
      <c r="Z158" s="14">
        <f>AA158+AB158+AD158+AE158+AC158</f>
        <v>33820</v>
      </c>
      <c r="AA158" s="14">
        <v>33820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>
        <v>3550</v>
      </c>
      <c r="AO158" s="14">
        <v>1000</v>
      </c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2"/>
    </row>
    <row r="159" spans="1:56">
      <c r="A159" s="10">
        <v>805962</v>
      </c>
      <c r="B159" s="11" t="s">
        <v>215</v>
      </c>
      <c r="C159" s="12"/>
      <c r="D159" s="12"/>
      <c r="E159" s="12"/>
      <c r="F159" s="12"/>
      <c r="G159" s="12"/>
      <c r="H159" s="12"/>
      <c r="I159" s="12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2"/>
    </row>
    <row r="160" spans="1:56" ht="25.5">
      <c r="A160" s="10">
        <v>805965</v>
      </c>
      <c r="B160" s="11" t="s">
        <v>216</v>
      </c>
      <c r="C160" s="12"/>
      <c r="D160" s="12"/>
      <c r="E160" s="12"/>
      <c r="F160" s="12"/>
      <c r="G160" s="12"/>
      <c r="H160" s="12"/>
      <c r="I160" s="12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>
        <v>219800</v>
      </c>
      <c r="AS160" s="14"/>
      <c r="AT160" s="14"/>
      <c r="AU160" s="14"/>
      <c r="AV160" s="14"/>
      <c r="AW160" s="14">
        <f>AX160+AY160+AZ160+BA160+BB160+BC160</f>
        <v>9197825</v>
      </c>
      <c r="AX160" s="14">
        <v>5672670</v>
      </c>
      <c r="AY160" s="14">
        <v>743917</v>
      </c>
      <c r="AZ160" s="14">
        <v>1712249</v>
      </c>
      <c r="BA160" s="14">
        <v>905209</v>
      </c>
      <c r="BB160" s="14">
        <v>101957</v>
      </c>
      <c r="BC160" s="14">
        <v>61823</v>
      </c>
      <c r="BD160" s="12"/>
    </row>
    <row r="161" spans="1:56" ht="25.5">
      <c r="A161" s="10">
        <v>805968</v>
      </c>
      <c r="B161" s="11" t="s">
        <v>217</v>
      </c>
      <c r="C161" s="12"/>
      <c r="D161" s="12"/>
      <c r="E161" s="12"/>
      <c r="F161" s="12"/>
      <c r="G161" s="12"/>
      <c r="H161" s="12"/>
      <c r="I161" s="12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>
        <v>450</v>
      </c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2"/>
    </row>
    <row r="162" spans="1:56" ht="25.5">
      <c r="A162" s="10">
        <v>805972</v>
      </c>
      <c r="B162" s="11" t="s">
        <v>218</v>
      </c>
      <c r="C162" s="12"/>
      <c r="D162" s="12"/>
      <c r="E162" s="12"/>
      <c r="F162" s="12"/>
      <c r="G162" s="12"/>
      <c r="H162" s="12"/>
      <c r="I162" s="12"/>
      <c r="J162" s="14">
        <f>K162+U162</f>
        <v>380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>
        <f>V162+W162+X162</f>
        <v>380</v>
      </c>
      <c r="V162" s="14">
        <v>380</v>
      </c>
      <c r="W162" s="14"/>
      <c r="X162" s="14"/>
      <c r="Y162" s="14"/>
      <c r="Z162" s="14">
        <f>AA162+AB162+AD162+AE162+AC162</f>
        <v>5400</v>
      </c>
      <c r="AA162" s="14">
        <v>5400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2"/>
    </row>
    <row r="163" spans="1:56" ht="25.5">
      <c r="A163" s="10">
        <v>805976</v>
      </c>
      <c r="B163" s="11" t="s">
        <v>219</v>
      </c>
      <c r="C163" s="12"/>
      <c r="D163" s="12"/>
      <c r="E163" s="12"/>
      <c r="F163" s="12"/>
      <c r="G163" s="12">
        <f>H163+I163</f>
        <v>400</v>
      </c>
      <c r="H163" s="12">
        <v>400</v>
      </c>
      <c r="I163" s="12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>
        <f>AA163+AB163+AD163+AE163+AC163</f>
        <v>1000</v>
      </c>
      <c r="AA163" s="14">
        <v>1000</v>
      </c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2"/>
    </row>
    <row r="164" spans="1:56" ht="25.5">
      <c r="A164" s="10">
        <v>805978</v>
      </c>
      <c r="B164" s="11" t="s">
        <v>220</v>
      </c>
      <c r="C164" s="12"/>
      <c r="D164" s="12"/>
      <c r="E164" s="12"/>
      <c r="F164" s="12"/>
      <c r="G164" s="12"/>
      <c r="H164" s="12"/>
      <c r="I164" s="12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>
        <v>300</v>
      </c>
      <c r="AM164" s="14"/>
      <c r="AN164" s="14">
        <v>800</v>
      </c>
      <c r="AO164" s="14">
        <v>810</v>
      </c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2"/>
    </row>
    <row r="165" spans="1:56" ht="25.5">
      <c r="A165" s="10">
        <v>805979</v>
      </c>
      <c r="B165" s="11" t="s">
        <v>221</v>
      </c>
      <c r="C165" s="12"/>
      <c r="D165" s="12"/>
      <c r="E165" s="12"/>
      <c r="F165" s="12"/>
      <c r="G165" s="12"/>
      <c r="H165" s="12"/>
      <c r="I165" s="12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>
        <v>300</v>
      </c>
      <c r="AM165" s="14">
        <v>450</v>
      </c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2"/>
    </row>
    <row r="166" spans="1:56" ht="25.5">
      <c r="A166" s="10">
        <v>805980</v>
      </c>
      <c r="B166" s="11" t="s">
        <v>222</v>
      </c>
      <c r="C166" s="12"/>
      <c r="D166" s="12"/>
      <c r="E166" s="12"/>
      <c r="F166" s="12"/>
      <c r="G166" s="12"/>
      <c r="H166" s="12"/>
      <c r="I166" s="12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2"/>
    </row>
    <row r="167" spans="1:56" ht="25.5">
      <c r="A167" s="10">
        <v>805981</v>
      </c>
      <c r="B167" s="11" t="s">
        <v>223</v>
      </c>
      <c r="C167" s="12"/>
      <c r="D167" s="12"/>
      <c r="E167" s="12"/>
      <c r="F167" s="12"/>
      <c r="G167" s="12"/>
      <c r="H167" s="12"/>
      <c r="I167" s="12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2"/>
    </row>
    <row r="168" spans="1:56" ht="25.5">
      <c r="A168" s="10">
        <v>805984</v>
      </c>
      <c r="B168" s="11" t="s">
        <v>224</v>
      </c>
      <c r="C168" s="12"/>
      <c r="D168" s="12"/>
      <c r="E168" s="12"/>
      <c r="F168" s="12"/>
      <c r="G168" s="12"/>
      <c r="H168" s="12"/>
      <c r="I168" s="12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>
        <v>450</v>
      </c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2"/>
    </row>
    <row r="169" spans="1:56" ht="25.5">
      <c r="A169" s="10">
        <v>805986</v>
      </c>
      <c r="B169" s="11" t="s">
        <v>225</v>
      </c>
      <c r="C169" s="12"/>
      <c r="D169" s="12"/>
      <c r="E169" s="12"/>
      <c r="F169" s="12"/>
      <c r="G169" s="12">
        <f>H169+I169</f>
        <v>600</v>
      </c>
      <c r="H169" s="12">
        <v>600</v>
      </c>
      <c r="I169" s="12"/>
      <c r="J169" s="14">
        <f>K169+U169</f>
        <v>3800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>
        <f>V169+W169+X169</f>
        <v>3800</v>
      </c>
      <c r="V169" s="14">
        <v>3800</v>
      </c>
      <c r="W169" s="14"/>
      <c r="X169" s="14"/>
      <c r="Y169" s="14">
        <v>20</v>
      </c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2"/>
    </row>
    <row r="170" spans="1:56">
      <c r="A170" s="10">
        <v>805989</v>
      </c>
      <c r="B170" s="11" t="s">
        <v>226</v>
      </c>
      <c r="C170" s="12"/>
      <c r="D170" s="12"/>
      <c r="E170" s="12"/>
      <c r="F170" s="12"/>
      <c r="G170" s="12"/>
      <c r="H170" s="12"/>
      <c r="I170" s="12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2"/>
    </row>
    <row r="171" spans="1:56">
      <c r="A171" s="10">
        <v>805990</v>
      </c>
      <c r="B171" s="11" t="s">
        <v>227</v>
      </c>
      <c r="C171" s="12"/>
      <c r="D171" s="12"/>
      <c r="E171" s="12"/>
      <c r="F171" s="12"/>
      <c r="G171" s="12"/>
      <c r="H171" s="12"/>
      <c r="I171" s="12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>
        <v>300</v>
      </c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2"/>
    </row>
    <row r="172" spans="1:56">
      <c r="A172" s="10">
        <v>805991</v>
      </c>
      <c r="B172" s="11" t="s">
        <v>228</v>
      </c>
      <c r="C172" s="12"/>
      <c r="D172" s="12"/>
      <c r="E172" s="12"/>
      <c r="F172" s="12"/>
      <c r="G172" s="12">
        <f>H172+I172</f>
        <v>300</v>
      </c>
      <c r="H172" s="12">
        <f>100+200</f>
        <v>300</v>
      </c>
      <c r="I172" s="12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2"/>
    </row>
    <row r="173" spans="1:56" ht="25.5">
      <c r="A173" s="10">
        <v>805993</v>
      </c>
      <c r="B173" s="11" t="s">
        <v>229</v>
      </c>
      <c r="C173" s="12"/>
      <c r="D173" s="12"/>
      <c r="E173" s="12"/>
      <c r="F173" s="12"/>
      <c r="G173" s="12">
        <f>H173+I173</f>
        <v>0</v>
      </c>
      <c r="H173" s="12"/>
      <c r="I173" s="12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2"/>
    </row>
    <row r="174" spans="1:56" ht="38.25">
      <c r="A174" s="10">
        <v>805996</v>
      </c>
      <c r="B174" s="11" t="s">
        <v>230</v>
      </c>
      <c r="C174" s="12"/>
      <c r="D174" s="12"/>
      <c r="E174" s="12"/>
      <c r="F174" s="12"/>
      <c r="G174" s="12">
        <f>H174+I174</f>
        <v>100</v>
      </c>
      <c r="H174" s="12">
        <v>100</v>
      </c>
      <c r="I174" s="12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>
        <v>500</v>
      </c>
      <c r="AO174" s="14">
        <v>0</v>
      </c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2"/>
    </row>
    <row r="175" spans="1:56" ht="25.5">
      <c r="A175" s="10">
        <v>805999</v>
      </c>
      <c r="B175" s="11" t="s">
        <v>231</v>
      </c>
      <c r="C175" s="12"/>
      <c r="D175" s="12"/>
      <c r="E175" s="12"/>
      <c r="F175" s="12"/>
      <c r="G175" s="12">
        <f>H175+I175</f>
        <v>200</v>
      </c>
      <c r="H175" s="12">
        <v>200</v>
      </c>
      <c r="I175" s="12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2"/>
    </row>
    <row r="176" spans="1:56">
      <c r="A176" s="10">
        <v>806502</v>
      </c>
      <c r="B176" s="11" t="s">
        <v>232</v>
      </c>
      <c r="C176" s="12"/>
      <c r="D176" s="12"/>
      <c r="E176" s="12"/>
      <c r="F176" s="12"/>
      <c r="G176" s="12"/>
      <c r="H176" s="12"/>
      <c r="I176" s="12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2">
        <v>4250</v>
      </c>
    </row>
    <row r="177" spans="1:56" ht="25.5">
      <c r="A177" s="10">
        <v>806503</v>
      </c>
      <c r="B177" s="11" t="s">
        <v>233</v>
      </c>
      <c r="C177" s="12"/>
      <c r="D177" s="12"/>
      <c r="E177" s="12"/>
      <c r="F177" s="12"/>
      <c r="G177" s="12"/>
      <c r="H177" s="12"/>
      <c r="I177" s="12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2">
        <v>5790</v>
      </c>
    </row>
    <row r="178" spans="1:56" s="17" customFormat="1">
      <c r="A178" s="15"/>
      <c r="B178" s="16" t="s">
        <v>3</v>
      </c>
      <c r="C178" s="13">
        <f t="shared" ref="C178:BD178" si="36">SUM(C10:C177)</f>
        <v>391100</v>
      </c>
      <c r="D178" s="13">
        <f t="shared" si="36"/>
        <v>369501</v>
      </c>
      <c r="E178" s="13">
        <f t="shared" si="36"/>
        <v>9399</v>
      </c>
      <c r="F178" s="13">
        <f t="shared" si="36"/>
        <v>12200</v>
      </c>
      <c r="G178" s="13">
        <f t="shared" si="36"/>
        <v>160319</v>
      </c>
      <c r="H178" s="13">
        <f t="shared" si="36"/>
        <v>157559</v>
      </c>
      <c r="I178" s="13">
        <f t="shared" si="36"/>
        <v>2760</v>
      </c>
      <c r="J178" s="13">
        <f t="shared" si="36"/>
        <v>6450051</v>
      </c>
      <c r="K178" s="13">
        <f t="shared" si="36"/>
        <v>1611298</v>
      </c>
      <c r="L178" s="13">
        <f t="shared" si="36"/>
        <v>716822</v>
      </c>
      <c r="M178" s="13">
        <f t="shared" si="36"/>
        <v>309655</v>
      </c>
      <c r="N178" s="13">
        <f t="shared" si="36"/>
        <v>407167</v>
      </c>
      <c r="O178" s="13">
        <f t="shared" si="36"/>
        <v>894476</v>
      </c>
      <c r="P178" s="13">
        <f t="shared" si="36"/>
        <v>769529</v>
      </c>
      <c r="Q178" s="13"/>
      <c r="R178" s="13">
        <f t="shared" si="36"/>
        <v>116837</v>
      </c>
      <c r="S178" s="13">
        <f t="shared" si="36"/>
        <v>4635</v>
      </c>
      <c r="T178" s="13">
        <f t="shared" si="36"/>
        <v>3475</v>
      </c>
      <c r="U178" s="13">
        <f t="shared" si="36"/>
        <v>4838753</v>
      </c>
      <c r="V178" s="13">
        <f t="shared" si="36"/>
        <v>4782430</v>
      </c>
      <c r="W178" s="13">
        <f t="shared" si="36"/>
        <v>11323</v>
      </c>
      <c r="X178" s="13">
        <f t="shared" si="36"/>
        <v>45000</v>
      </c>
      <c r="Y178" s="13">
        <f t="shared" si="36"/>
        <v>1227750</v>
      </c>
      <c r="Z178" s="13">
        <f t="shared" si="36"/>
        <v>4095776</v>
      </c>
      <c r="AA178" s="13">
        <f t="shared" si="36"/>
        <v>3860705</v>
      </c>
      <c r="AB178" s="13">
        <f t="shared" si="36"/>
        <v>52000</v>
      </c>
      <c r="AC178" s="13">
        <f t="shared" ref="AC178" si="37">SUM(AC10:AC177)</f>
        <v>177095</v>
      </c>
      <c r="AD178" s="13">
        <f t="shared" si="36"/>
        <v>4680</v>
      </c>
      <c r="AE178" s="13">
        <f t="shared" si="36"/>
        <v>1296</v>
      </c>
      <c r="AF178" s="13">
        <f t="shared" si="36"/>
        <v>6850</v>
      </c>
      <c r="AG178" s="13">
        <f t="shared" si="36"/>
        <v>602475</v>
      </c>
      <c r="AH178" s="13">
        <f t="shared" si="36"/>
        <v>103698</v>
      </c>
      <c r="AI178" s="13">
        <f t="shared" si="36"/>
        <v>137650</v>
      </c>
      <c r="AJ178" s="13">
        <f t="shared" si="36"/>
        <v>288214</v>
      </c>
      <c r="AK178" s="13">
        <f t="shared" si="36"/>
        <v>72913</v>
      </c>
      <c r="AL178" s="13">
        <f t="shared" si="36"/>
        <v>115990</v>
      </c>
      <c r="AM178" s="13">
        <f t="shared" si="36"/>
        <v>41780</v>
      </c>
      <c r="AN178" s="13">
        <f t="shared" si="36"/>
        <v>218050</v>
      </c>
      <c r="AO178" s="13">
        <f t="shared" si="36"/>
        <v>71060</v>
      </c>
      <c r="AP178" s="13">
        <f t="shared" si="36"/>
        <v>2500</v>
      </c>
      <c r="AQ178" s="13">
        <f t="shared" si="36"/>
        <v>32940</v>
      </c>
      <c r="AR178" s="13">
        <f t="shared" si="36"/>
        <v>235900</v>
      </c>
      <c r="AS178" s="13">
        <f t="shared" si="36"/>
        <v>45000</v>
      </c>
      <c r="AT178" s="13">
        <f t="shared" si="36"/>
        <v>2450</v>
      </c>
      <c r="AU178" s="13">
        <f t="shared" si="36"/>
        <v>14000</v>
      </c>
      <c r="AV178" s="13">
        <f t="shared" si="36"/>
        <v>1900</v>
      </c>
      <c r="AW178" s="13">
        <f t="shared" si="36"/>
        <v>9197825</v>
      </c>
      <c r="AX178" s="13">
        <f t="shared" si="36"/>
        <v>5672670</v>
      </c>
      <c r="AY178" s="13">
        <f t="shared" si="36"/>
        <v>743917</v>
      </c>
      <c r="AZ178" s="13">
        <f t="shared" si="36"/>
        <v>1712249</v>
      </c>
      <c r="BA178" s="13">
        <f t="shared" si="36"/>
        <v>905209</v>
      </c>
      <c r="BB178" s="13">
        <f t="shared" si="36"/>
        <v>101957</v>
      </c>
      <c r="BC178" s="13">
        <f t="shared" si="36"/>
        <v>61823</v>
      </c>
      <c r="BD178" s="13">
        <f t="shared" si="36"/>
        <v>653740</v>
      </c>
    </row>
    <row r="179" spans="1:56">
      <c r="A179" s="10">
        <v>999998</v>
      </c>
      <c r="B179" s="18" t="s">
        <v>55</v>
      </c>
      <c r="C179" s="12">
        <f>D179+E179+F179</f>
        <v>2800</v>
      </c>
      <c r="D179" s="12">
        <f>2800-177</f>
        <v>2623</v>
      </c>
      <c r="E179" s="12">
        <v>177</v>
      </c>
      <c r="F179" s="12">
        <v>0</v>
      </c>
      <c r="G179" s="12">
        <f t="shared" ref="G179:G180" si="38">H179+I179</f>
        <v>6220</v>
      </c>
      <c r="H179" s="12">
        <v>3000</v>
      </c>
      <c r="I179" s="12">
        <v>3220</v>
      </c>
      <c r="J179" s="14">
        <f>K179+U179</f>
        <v>47</v>
      </c>
      <c r="K179" s="14"/>
      <c r="L179" s="14"/>
      <c r="M179" s="12"/>
      <c r="N179" s="12"/>
      <c r="O179" s="14"/>
      <c r="P179" s="12"/>
      <c r="Q179" s="12"/>
      <c r="R179" s="12"/>
      <c r="S179" s="12"/>
      <c r="T179" s="12"/>
      <c r="U179" s="14">
        <f>V179+W179+X179</f>
        <v>47</v>
      </c>
      <c r="V179" s="12"/>
      <c r="W179" s="12">
        <v>47</v>
      </c>
      <c r="X179" s="12"/>
      <c r="Y179" s="14"/>
      <c r="Z179" s="14">
        <f>AA179+AB179+AD179+AE179</f>
        <v>0</v>
      </c>
      <c r="AA179" s="12"/>
      <c r="AB179" s="12"/>
      <c r="AC179" s="12"/>
      <c r="AD179" s="12"/>
      <c r="AE179" s="12"/>
      <c r="AF179" s="12">
        <v>300</v>
      </c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>
        <v>2000</v>
      </c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1:56">
      <c r="A180" s="10">
        <v>999999</v>
      </c>
      <c r="B180" s="18" t="s">
        <v>56</v>
      </c>
      <c r="C180" s="12">
        <f>D180+E180+F180</f>
        <v>11648</v>
      </c>
      <c r="D180" s="12">
        <f>11358-454</f>
        <v>10904</v>
      </c>
      <c r="E180" s="12">
        <v>454</v>
      </c>
      <c r="F180" s="12">
        <v>290</v>
      </c>
      <c r="G180" s="12">
        <f t="shared" si="38"/>
        <v>1677</v>
      </c>
      <c r="H180" s="12">
        <v>1670</v>
      </c>
      <c r="I180" s="12">
        <v>7</v>
      </c>
      <c r="J180" s="14">
        <f>K180+U180</f>
        <v>71641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4">
        <f>V180+W180+X180</f>
        <v>71641</v>
      </c>
      <c r="V180" s="14">
        <f>71597+44</f>
        <v>71641</v>
      </c>
      <c r="W180" s="12"/>
      <c r="X180" s="12"/>
      <c r="Y180" s="12">
        <v>15246</v>
      </c>
      <c r="Z180" s="14">
        <f>AA180+AB180+AD180+AE180</f>
        <v>19231</v>
      </c>
      <c r="AA180" s="14">
        <f>19224+7</f>
        <v>19231</v>
      </c>
      <c r="AB180" s="12"/>
      <c r="AC180" s="12"/>
      <c r="AD180" s="12"/>
      <c r="AE180" s="12"/>
      <c r="AF180" s="12">
        <v>23</v>
      </c>
      <c r="AG180" s="12"/>
      <c r="AH180" s="12"/>
      <c r="AI180" s="12"/>
      <c r="AJ180" s="12"/>
      <c r="AK180" s="12"/>
      <c r="AL180" s="12">
        <v>173</v>
      </c>
      <c r="AM180" s="12">
        <v>65</v>
      </c>
      <c r="AN180" s="12">
        <v>372</v>
      </c>
      <c r="AO180" s="12">
        <v>108</v>
      </c>
      <c r="AP180" s="12">
        <v>78</v>
      </c>
      <c r="AQ180" s="12">
        <v>30</v>
      </c>
      <c r="AR180" s="12">
        <v>681</v>
      </c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>
        <v>13795</v>
      </c>
    </row>
    <row r="181" spans="1:56">
      <c r="A181" s="10"/>
      <c r="B181" s="18"/>
      <c r="C181" s="12"/>
      <c r="D181" s="12"/>
      <c r="E181" s="12"/>
      <c r="F181" s="12"/>
      <c r="G181" s="12"/>
      <c r="H181" s="12"/>
      <c r="I181" s="12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2"/>
    </row>
    <row r="182" spans="1:56" s="17" customFormat="1">
      <c r="A182" s="19"/>
      <c r="B182" s="20" t="s">
        <v>4</v>
      </c>
      <c r="C182" s="21">
        <f>C178+C179+C180</f>
        <v>405548</v>
      </c>
      <c r="D182" s="21">
        <f t="shared" ref="D182:BD182" si="39">D178+D179+D180</f>
        <v>383028</v>
      </c>
      <c r="E182" s="21">
        <f t="shared" si="39"/>
        <v>10030</v>
      </c>
      <c r="F182" s="21">
        <f t="shared" si="39"/>
        <v>12490</v>
      </c>
      <c r="G182" s="21">
        <f t="shared" si="39"/>
        <v>168216</v>
      </c>
      <c r="H182" s="21">
        <f t="shared" si="39"/>
        <v>162229</v>
      </c>
      <c r="I182" s="21">
        <f t="shared" si="39"/>
        <v>5987</v>
      </c>
      <c r="J182" s="21">
        <f t="shared" si="39"/>
        <v>6521739</v>
      </c>
      <c r="K182" s="21">
        <f t="shared" si="39"/>
        <v>1611298</v>
      </c>
      <c r="L182" s="21">
        <f t="shared" si="39"/>
        <v>716822</v>
      </c>
      <c r="M182" s="21">
        <f t="shared" si="39"/>
        <v>309655</v>
      </c>
      <c r="N182" s="21">
        <f t="shared" si="39"/>
        <v>407167</v>
      </c>
      <c r="O182" s="21">
        <f t="shared" si="39"/>
        <v>894476</v>
      </c>
      <c r="P182" s="21">
        <f t="shared" si="39"/>
        <v>769529</v>
      </c>
      <c r="Q182" s="21"/>
      <c r="R182" s="21">
        <f t="shared" si="39"/>
        <v>116837</v>
      </c>
      <c r="S182" s="21">
        <f t="shared" si="39"/>
        <v>4635</v>
      </c>
      <c r="T182" s="21">
        <f t="shared" si="39"/>
        <v>3475</v>
      </c>
      <c r="U182" s="21">
        <f>U178+U179+U180</f>
        <v>4910441</v>
      </c>
      <c r="V182" s="21">
        <f t="shared" si="39"/>
        <v>4854071</v>
      </c>
      <c r="W182" s="21">
        <f t="shared" si="39"/>
        <v>11370</v>
      </c>
      <c r="X182" s="21">
        <f t="shared" si="39"/>
        <v>45000</v>
      </c>
      <c r="Y182" s="21">
        <f t="shared" si="39"/>
        <v>1242996</v>
      </c>
      <c r="Z182" s="21">
        <f t="shared" si="39"/>
        <v>4115007</v>
      </c>
      <c r="AA182" s="21">
        <f t="shared" si="39"/>
        <v>3879936</v>
      </c>
      <c r="AB182" s="21">
        <f t="shared" si="39"/>
        <v>52000</v>
      </c>
      <c r="AC182" s="21">
        <f t="shared" ref="AC182" si="40">AC178+AC179+AC180</f>
        <v>177095</v>
      </c>
      <c r="AD182" s="21">
        <f t="shared" si="39"/>
        <v>4680</v>
      </c>
      <c r="AE182" s="21">
        <f t="shared" si="39"/>
        <v>1296</v>
      </c>
      <c r="AF182" s="21">
        <f t="shared" si="39"/>
        <v>7173</v>
      </c>
      <c r="AG182" s="21">
        <f t="shared" si="39"/>
        <v>602475</v>
      </c>
      <c r="AH182" s="21">
        <f t="shared" si="39"/>
        <v>103698</v>
      </c>
      <c r="AI182" s="21">
        <f t="shared" si="39"/>
        <v>137650</v>
      </c>
      <c r="AJ182" s="21">
        <f t="shared" si="39"/>
        <v>288214</v>
      </c>
      <c r="AK182" s="21">
        <f t="shared" si="39"/>
        <v>72913</v>
      </c>
      <c r="AL182" s="21">
        <f t="shared" si="39"/>
        <v>116163</v>
      </c>
      <c r="AM182" s="21">
        <f t="shared" si="39"/>
        <v>41845</v>
      </c>
      <c r="AN182" s="21">
        <f t="shared" si="39"/>
        <v>218422</v>
      </c>
      <c r="AO182" s="21">
        <f t="shared" si="39"/>
        <v>71168</v>
      </c>
      <c r="AP182" s="21">
        <f t="shared" si="39"/>
        <v>2578</v>
      </c>
      <c r="AQ182" s="21">
        <f t="shared" si="39"/>
        <v>34970</v>
      </c>
      <c r="AR182" s="21">
        <f t="shared" si="39"/>
        <v>236581</v>
      </c>
      <c r="AS182" s="21">
        <f t="shared" si="39"/>
        <v>45000</v>
      </c>
      <c r="AT182" s="21">
        <f t="shared" si="39"/>
        <v>2450</v>
      </c>
      <c r="AU182" s="21">
        <f t="shared" si="39"/>
        <v>14000</v>
      </c>
      <c r="AV182" s="21">
        <f t="shared" si="39"/>
        <v>1900</v>
      </c>
      <c r="AW182" s="21">
        <f t="shared" si="39"/>
        <v>9197825</v>
      </c>
      <c r="AX182" s="21">
        <f t="shared" si="39"/>
        <v>5672670</v>
      </c>
      <c r="AY182" s="21">
        <f t="shared" si="39"/>
        <v>743917</v>
      </c>
      <c r="AZ182" s="21">
        <f t="shared" si="39"/>
        <v>1712249</v>
      </c>
      <c r="BA182" s="21">
        <f t="shared" si="39"/>
        <v>905209</v>
      </c>
      <c r="BB182" s="21">
        <f t="shared" si="39"/>
        <v>101957</v>
      </c>
      <c r="BC182" s="21">
        <f t="shared" si="39"/>
        <v>61823</v>
      </c>
      <c r="BD182" s="21">
        <f t="shared" si="39"/>
        <v>667535</v>
      </c>
    </row>
    <row r="185" spans="1:56">
      <c r="AC185" s="22">
        <f>AC182/V182</f>
        <v>3.6483809157303218E-2</v>
      </c>
    </row>
  </sheetData>
  <mergeCells count="66">
    <mergeCell ref="A4:A9"/>
    <mergeCell ref="B4:B9"/>
    <mergeCell ref="C4:F4"/>
    <mergeCell ref="G4:I5"/>
    <mergeCell ref="H6:I6"/>
    <mergeCell ref="H7:H9"/>
    <mergeCell ref="I7:I9"/>
    <mergeCell ref="BD4:BD9"/>
    <mergeCell ref="C5:C9"/>
    <mergeCell ref="D5:F5"/>
    <mergeCell ref="J5:AK5"/>
    <mergeCell ref="AL5:AO5"/>
    <mergeCell ref="AP5:BC5"/>
    <mergeCell ref="D6:D9"/>
    <mergeCell ref="E6:E9"/>
    <mergeCell ref="F6:F9"/>
    <mergeCell ref="G6:G9"/>
    <mergeCell ref="J4:BC4"/>
    <mergeCell ref="J6:J9"/>
    <mergeCell ref="K6:X6"/>
    <mergeCell ref="Y6:Y9"/>
    <mergeCell ref="AF6:AF9"/>
    <mergeCell ref="AG6:AG9"/>
    <mergeCell ref="AA7:AA9"/>
    <mergeCell ref="AB7:AB9"/>
    <mergeCell ref="AD7:AE7"/>
    <mergeCell ref="AH7:AH9"/>
    <mergeCell ref="AI7:AI9"/>
    <mergeCell ref="AD8:AD9"/>
    <mergeCell ref="AE8:AE9"/>
    <mergeCell ref="AC7:AC9"/>
    <mergeCell ref="AV6:AV9"/>
    <mergeCell ref="AW6:AW9"/>
    <mergeCell ref="AX7:AX9"/>
    <mergeCell ref="AY7:AY9"/>
    <mergeCell ref="AH6:AK6"/>
    <mergeCell ref="AL6:AL9"/>
    <mergeCell ref="AJ7:AJ9"/>
    <mergeCell ref="AK7:AK9"/>
    <mergeCell ref="K7:K9"/>
    <mergeCell ref="L7:T7"/>
    <mergeCell ref="U7:U9"/>
    <mergeCell ref="V7:X7"/>
    <mergeCell ref="L8:L9"/>
    <mergeCell ref="M8:N8"/>
    <mergeCell ref="O8:O9"/>
    <mergeCell ref="P8:T8"/>
    <mergeCell ref="V8:V9"/>
    <mergeCell ref="W8:W9"/>
    <mergeCell ref="X8:X9"/>
    <mergeCell ref="Z6:Z9"/>
    <mergeCell ref="AA6:AE6"/>
    <mergeCell ref="AX6:BC6"/>
    <mergeCell ref="BA7:BA9"/>
    <mergeCell ref="BB7:BB9"/>
    <mergeCell ref="BC7:BC9"/>
    <mergeCell ref="AM6:AM9"/>
    <mergeCell ref="AN6:AN9"/>
    <mergeCell ref="AO6:AO9"/>
    <mergeCell ref="AP6:AP9"/>
    <mergeCell ref="AQ6:AQ9"/>
    <mergeCell ref="AR6:AR9"/>
    <mergeCell ref="AZ7:AZ9"/>
    <mergeCell ref="AS6:AS9"/>
    <mergeCell ref="AT6:AT9"/>
    <mergeCell ref="AU6:AU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SKovaleva</dc:creator>
  <cp:lastModifiedBy>oabramova</cp:lastModifiedBy>
  <dcterms:created xsi:type="dcterms:W3CDTF">2023-12-22T11:06:02Z</dcterms:created>
  <dcterms:modified xsi:type="dcterms:W3CDTF">2024-03-13T07:14:59Z</dcterms:modified>
</cp:coreProperties>
</file>